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ИП 2020\На отправку - пояснения июль 2019\"/>
    </mc:Choice>
  </mc:AlternateContent>
  <xr:revisionPtr revIDLastSave="0" documentId="13_ncr:1_{5FF82F61-B3E7-4BD0-A2A1-E861FE2CA46D}" xr6:coauthVersionLast="43" xr6:coauthVersionMax="43" xr10:uidLastSave="{00000000-0000-0000-0000-000000000000}"/>
  <bookViews>
    <workbookView xWindow="-120" yWindow="-120" windowWidth="29040" windowHeight="15840" firstSheet="5" activeTab="7" xr2:uid="{A6F7BC60-7508-436B-8DD6-2D1857A6338A}"/>
  </bookViews>
  <sheets>
    <sheet name="Лист1" sheetId="1" state="hidden" r:id="rId1"/>
    <sheet name="Лист2" sheetId="2" state="hidden" r:id="rId2"/>
    <sheet name="Расчет по лизингу" sheetId="3" state="hidden" r:id="rId3"/>
    <sheet name="Лист4" sheetId="4" state="hidden" r:id="rId4"/>
    <sheet name="имущество" sheetId="5" state="hidden" r:id="rId5"/>
    <sheet name="ВС" sheetId="6" r:id="rId6"/>
    <sheet name="ЛП" sheetId="7" r:id="rId7"/>
    <sheet name="СВОД" sheetId="8" r:id="rId8"/>
    <sheet name="Лист3" sheetId="9" state="hidden" r:id="rId9"/>
  </sheets>
  <definedNames>
    <definedName name="_xlnm.Print_Titles" localSheetId="5">ВС!$3:$4</definedName>
    <definedName name="_xlnm.Print_Titles" localSheetId="6">ЛП!$3:$4</definedName>
    <definedName name="_xlnm.Print_Titles" localSheetId="2">'Расчет по лизингу'!$2:$2</definedName>
    <definedName name="_xlnm.Print_Titles" localSheetId="7">СВОД!$4:$5</definedName>
    <definedName name="_xlnm.Print_Area" localSheetId="5">ВС!$A$1:$N$211</definedName>
    <definedName name="_xlnm.Print_Area" localSheetId="7">СВОД!$A$1:$N$211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2" i="9" l="1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5" i="9"/>
  <c r="B6" i="9"/>
  <c r="B7" i="9"/>
  <c r="B8" i="9"/>
  <c r="B9" i="9"/>
  <c r="B10" i="9"/>
  <c r="B11" i="9"/>
  <c r="B4" i="9"/>
  <c r="J201" i="6" l="1"/>
  <c r="J200" i="6"/>
  <c r="J198" i="6"/>
  <c r="J197" i="6"/>
  <c r="J195" i="6"/>
  <c r="J194" i="6"/>
  <c r="J192" i="6"/>
  <c r="J191" i="6"/>
  <c r="J188" i="6"/>
  <c r="J187" i="6"/>
  <c r="J185" i="6"/>
  <c r="J184" i="6"/>
  <c r="J182" i="6"/>
  <c r="J181" i="6"/>
  <c r="J179" i="6"/>
  <c r="J178" i="6"/>
  <c r="J175" i="6"/>
  <c r="J174" i="6"/>
  <c r="J172" i="6"/>
  <c r="J171" i="6"/>
  <c r="J169" i="6"/>
  <c r="J168" i="6"/>
  <c r="J166" i="6"/>
  <c r="J165" i="6"/>
  <c r="J162" i="6"/>
  <c r="J161" i="6"/>
  <c r="J159" i="6"/>
  <c r="J158" i="6"/>
  <c r="J156" i="6"/>
  <c r="J155" i="6"/>
  <c r="J153" i="6"/>
  <c r="J152" i="6"/>
  <c r="J149" i="6"/>
  <c r="J148" i="6"/>
  <c r="J146" i="6"/>
  <c r="J145" i="6"/>
  <c r="J143" i="6"/>
  <c r="J142" i="6"/>
  <c r="J140" i="6"/>
  <c r="J139" i="6"/>
  <c r="J136" i="6"/>
  <c r="J135" i="6"/>
  <c r="J133" i="6"/>
  <c r="J132" i="6"/>
  <c r="J130" i="6"/>
  <c r="J129" i="6"/>
  <c r="J127" i="6"/>
  <c r="J126" i="6"/>
  <c r="J123" i="6"/>
  <c r="J122" i="6"/>
  <c r="J120" i="6"/>
  <c r="J119" i="6"/>
  <c r="J117" i="6"/>
  <c r="J116" i="6"/>
  <c r="J114" i="6"/>
  <c r="J113" i="6"/>
  <c r="J110" i="6"/>
  <c r="J109" i="6"/>
  <c r="J107" i="6"/>
  <c r="J106" i="6"/>
  <c r="J104" i="6"/>
  <c r="J103" i="6"/>
  <c r="J101" i="6"/>
  <c r="J100" i="6"/>
  <c r="J97" i="6"/>
  <c r="J96" i="6"/>
  <c r="J94" i="6"/>
  <c r="J93" i="6"/>
  <c r="J91" i="6"/>
  <c r="J90" i="6"/>
  <c r="J88" i="6"/>
  <c r="J87" i="6"/>
  <c r="J84" i="6"/>
  <c r="J83" i="6"/>
  <c r="J81" i="6"/>
  <c r="J80" i="6"/>
  <c r="J78" i="6"/>
  <c r="J77" i="6"/>
  <c r="J75" i="6"/>
  <c r="J74" i="6"/>
  <c r="J71" i="6"/>
  <c r="J70" i="6"/>
  <c r="J68" i="6"/>
  <c r="J67" i="6"/>
  <c r="J65" i="6"/>
  <c r="J64" i="6"/>
  <c r="J62" i="6"/>
  <c r="J61" i="6"/>
  <c r="J58" i="6"/>
  <c r="J57" i="6"/>
  <c r="J55" i="6"/>
  <c r="J54" i="6"/>
  <c r="J52" i="6"/>
  <c r="J51" i="6"/>
  <c r="J49" i="6"/>
  <c r="J48" i="6"/>
  <c r="J45" i="6"/>
  <c r="J44" i="6"/>
  <c r="J42" i="6"/>
  <c r="J41" i="6"/>
  <c r="J39" i="6"/>
  <c r="J38" i="6"/>
  <c r="J36" i="6"/>
  <c r="J35" i="6"/>
  <c r="J32" i="6"/>
  <c r="J31" i="6"/>
  <c r="J29" i="6"/>
  <c r="J28" i="6"/>
  <c r="J26" i="6"/>
  <c r="J25" i="6"/>
  <c r="J23" i="6"/>
  <c r="J22" i="6"/>
  <c r="J19" i="6"/>
  <c r="J18" i="6"/>
  <c r="J16" i="6"/>
  <c r="J15" i="6"/>
  <c r="J13" i="6"/>
  <c r="J12" i="6"/>
  <c r="J10" i="6"/>
  <c r="J9" i="6"/>
  <c r="J6" i="6"/>
  <c r="J5" i="6"/>
  <c r="J201" i="7"/>
  <c r="J200" i="7"/>
  <c r="J198" i="7"/>
  <c r="J197" i="7"/>
  <c r="J195" i="7"/>
  <c r="J194" i="7"/>
  <c r="J192" i="7"/>
  <c r="J191" i="7"/>
  <c r="J188" i="7"/>
  <c r="J187" i="7"/>
  <c r="J185" i="7"/>
  <c r="J184" i="7"/>
  <c r="J182" i="7"/>
  <c r="J181" i="7"/>
  <c r="J179" i="7"/>
  <c r="J178" i="7"/>
  <c r="J175" i="7"/>
  <c r="J174" i="7"/>
  <c r="J172" i="7"/>
  <c r="J171" i="7"/>
  <c r="J169" i="7"/>
  <c r="J168" i="7"/>
  <c r="J166" i="7"/>
  <c r="J165" i="7"/>
  <c r="J162" i="7"/>
  <c r="J161" i="7"/>
  <c r="J159" i="7"/>
  <c r="J158" i="7"/>
  <c r="J156" i="7"/>
  <c r="J155" i="7"/>
  <c r="J153" i="7"/>
  <c r="J152" i="7"/>
  <c r="J149" i="7"/>
  <c r="J148" i="7"/>
  <c r="J146" i="7"/>
  <c r="J145" i="7"/>
  <c r="J143" i="7"/>
  <c r="J142" i="7"/>
  <c r="J140" i="7"/>
  <c r="J139" i="7"/>
  <c r="J136" i="7"/>
  <c r="J135" i="7"/>
  <c r="J133" i="7"/>
  <c r="J132" i="7"/>
  <c r="J130" i="7"/>
  <c r="J129" i="7"/>
  <c r="J127" i="7"/>
  <c r="J126" i="7"/>
  <c r="J123" i="7"/>
  <c r="J122" i="7"/>
  <c r="J120" i="7"/>
  <c r="J119" i="7"/>
  <c r="J117" i="7"/>
  <c r="J116" i="7"/>
  <c r="J114" i="7"/>
  <c r="J113" i="7"/>
  <c r="J110" i="7"/>
  <c r="J109" i="7"/>
  <c r="J107" i="7"/>
  <c r="J106" i="7"/>
  <c r="J104" i="7"/>
  <c r="J103" i="7"/>
  <c r="J101" i="7"/>
  <c r="J100" i="7"/>
  <c r="J97" i="7"/>
  <c r="J96" i="7"/>
  <c r="J94" i="7"/>
  <c r="J93" i="7"/>
  <c r="J91" i="7"/>
  <c r="J90" i="7"/>
  <c r="J88" i="7"/>
  <c r="J87" i="7"/>
  <c r="J84" i="7"/>
  <c r="J83" i="7"/>
  <c r="J81" i="7"/>
  <c r="J80" i="7"/>
  <c r="J78" i="7"/>
  <c r="J77" i="7"/>
  <c r="J75" i="7"/>
  <c r="J74" i="7"/>
  <c r="J71" i="7"/>
  <c r="J70" i="7"/>
  <c r="J68" i="7"/>
  <c r="J67" i="7"/>
  <c r="J65" i="7"/>
  <c r="J64" i="7"/>
  <c r="J62" i="7"/>
  <c r="J61" i="7"/>
  <c r="J58" i="7"/>
  <c r="J57" i="7"/>
  <c r="J55" i="7"/>
  <c r="J54" i="7"/>
  <c r="J52" i="7"/>
  <c r="J51" i="7"/>
  <c r="J49" i="7"/>
  <c r="J48" i="7"/>
  <c r="J45" i="7"/>
  <c r="J44" i="7"/>
  <c r="J42" i="7"/>
  <c r="J41" i="7"/>
  <c r="J39" i="7"/>
  <c r="J38" i="7"/>
  <c r="J36" i="7"/>
  <c r="J35" i="7"/>
  <c r="J32" i="7"/>
  <c r="J31" i="7"/>
  <c r="J29" i="7"/>
  <c r="J28" i="7"/>
  <c r="J26" i="7"/>
  <c r="J25" i="7"/>
  <c r="J23" i="7"/>
  <c r="J22" i="7"/>
  <c r="J19" i="7"/>
  <c r="J18" i="7"/>
  <c r="J16" i="7"/>
  <c r="J15" i="7"/>
  <c r="J13" i="7"/>
  <c r="J12" i="7"/>
  <c r="J10" i="7"/>
  <c r="J9" i="7"/>
  <c r="J6" i="7"/>
  <c r="J5" i="7"/>
  <c r="AB13" i="3" l="1"/>
  <c r="J5" i="3"/>
  <c r="N204" i="8" l="1"/>
  <c r="M204" i="8"/>
  <c r="L204" i="8"/>
  <c r="L205" i="8" s="1"/>
  <c r="I23" i="8"/>
  <c r="J23" i="8" s="1"/>
  <c r="I24" i="8"/>
  <c r="J24" i="8" s="1"/>
  <c r="I26" i="8"/>
  <c r="J26" i="8" s="1"/>
  <c r="I27" i="8"/>
  <c r="J27" i="8" s="1"/>
  <c r="I29" i="8"/>
  <c r="J29" i="8" s="1"/>
  <c r="I30" i="8"/>
  <c r="J30" i="8" s="1"/>
  <c r="I32" i="8"/>
  <c r="J32" i="8" s="1"/>
  <c r="I33" i="8"/>
  <c r="J33" i="8" s="1"/>
  <c r="I36" i="8"/>
  <c r="J36" i="8" s="1"/>
  <c r="I37" i="8"/>
  <c r="J37" i="8" s="1"/>
  <c r="I39" i="8"/>
  <c r="J39" i="8" s="1"/>
  <c r="I40" i="8"/>
  <c r="J40" i="8" s="1"/>
  <c r="I42" i="8"/>
  <c r="J42" i="8" s="1"/>
  <c r="I43" i="8"/>
  <c r="J43" i="8" s="1"/>
  <c r="I45" i="8"/>
  <c r="J45" i="8" s="1"/>
  <c r="I46" i="8"/>
  <c r="J46" i="8" s="1"/>
  <c r="I49" i="8"/>
  <c r="J49" i="8" s="1"/>
  <c r="I50" i="8"/>
  <c r="J50" i="8" s="1"/>
  <c r="I52" i="8"/>
  <c r="J52" i="8" s="1"/>
  <c r="I53" i="8"/>
  <c r="J53" i="8" s="1"/>
  <c r="I55" i="8"/>
  <c r="J55" i="8" s="1"/>
  <c r="I56" i="8"/>
  <c r="J56" i="8" s="1"/>
  <c r="I58" i="8"/>
  <c r="J58" i="8" s="1"/>
  <c r="I59" i="8"/>
  <c r="J59" i="8" s="1"/>
  <c r="I62" i="8"/>
  <c r="J62" i="8" s="1"/>
  <c r="I63" i="8"/>
  <c r="J63" i="8" s="1"/>
  <c r="I65" i="8"/>
  <c r="J65" i="8" s="1"/>
  <c r="I66" i="8"/>
  <c r="J66" i="8" s="1"/>
  <c r="I68" i="8"/>
  <c r="J68" i="8" s="1"/>
  <c r="I69" i="8"/>
  <c r="J69" i="8" s="1"/>
  <c r="I71" i="8"/>
  <c r="J71" i="8" s="1"/>
  <c r="I72" i="8"/>
  <c r="J72" i="8" s="1"/>
  <c r="I75" i="8"/>
  <c r="J75" i="8" s="1"/>
  <c r="I76" i="8"/>
  <c r="J76" i="8" s="1"/>
  <c r="I78" i="8"/>
  <c r="J78" i="8" s="1"/>
  <c r="I79" i="8"/>
  <c r="J79" i="8" s="1"/>
  <c r="I81" i="8"/>
  <c r="J81" i="8" s="1"/>
  <c r="I82" i="8"/>
  <c r="J82" i="8" s="1"/>
  <c r="I84" i="8"/>
  <c r="J84" i="8" s="1"/>
  <c r="I85" i="8"/>
  <c r="J85" i="8" s="1"/>
  <c r="I88" i="8"/>
  <c r="J88" i="8" s="1"/>
  <c r="I89" i="8"/>
  <c r="J89" i="8" s="1"/>
  <c r="I91" i="8"/>
  <c r="J91" i="8" s="1"/>
  <c r="I92" i="8"/>
  <c r="J92" i="8" s="1"/>
  <c r="I94" i="8"/>
  <c r="J94" i="8" s="1"/>
  <c r="I95" i="8"/>
  <c r="J95" i="8" s="1"/>
  <c r="I97" i="8"/>
  <c r="J97" i="8" s="1"/>
  <c r="I98" i="8"/>
  <c r="J98" i="8" s="1"/>
  <c r="I101" i="8"/>
  <c r="J101" i="8" s="1"/>
  <c r="I102" i="8"/>
  <c r="J102" i="8" s="1"/>
  <c r="I104" i="8"/>
  <c r="J104" i="8" s="1"/>
  <c r="I105" i="8"/>
  <c r="J105" i="8" s="1"/>
  <c r="I107" i="8"/>
  <c r="J107" i="8" s="1"/>
  <c r="I108" i="8"/>
  <c r="J108" i="8" s="1"/>
  <c r="I110" i="8"/>
  <c r="J110" i="8" s="1"/>
  <c r="I111" i="8"/>
  <c r="J111" i="8" s="1"/>
  <c r="I114" i="8"/>
  <c r="J114" i="8" s="1"/>
  <c r="I115" i="8"/>
  <c r="J115" i="8" s="1"/>
  <c r="I117" i="8"/>
  <c r="J117" i="8" s="1"/>
  <c r="I118" i="8"/>
  <c r="J118" i="8" s="1"/>
  <c r="I120" i="8"/>
  <c r="J120" i="8" s="1"/>
  <c r="I121" i="8"/>
  <c r="J121" i="8" s="1"/>
  <c r="I123" i="8"/>
  <c r="J123" i="8" s="1"/>
  <c r="I124" i="8"/>
  <c r="J124" i="8" s="1"/>
  <c r="I127" i="8"/>
  <c r="J127" i="8" s="1"/>
  <c r="I128" i="8"/>
  <c r="J128" i="8" s="1"/>
  <c r="I130" i="8"/>
  <c r="J130" i="8" s="1"/>
  <c r="I131" i="8"/>
  <c r="J131" i="8" s="1"/>
  <c r="I133" i="8"/>
  <c r="J133" i="8" s="1"/>
  <c r="I134" i="8"/>
  <c r="J134" i="8" s="1"/>
  <c r="I136" i="8"/>
  <c r="J136" i="8" s="1"/>
  <c r="I137" i="8"/>
  <c r="J137" i="8" s="1"/>
  <c r="I140" i="8"/>
  <c r="J140" i="8" s="1"/>
  <c r="I141" i="8"/>
  <c r="J141" i="8" s="1"/>
  <c r="I143" i="8"/>
  <c r="J143" i="8" s="1"/>
  <c r="I144" i="8"/>
  <c r="J144" i="8" s="1"/>
  <c r="I146" i="8"/>
  <c r="J146" i="8" s="1"/>
  <c r="I147" i="8"/>
  <c r="J147" i="8" s="1"/>
  <c r="I149" i="8"/>
  <c r="J149" i="8" s="1"/>
  <c r="I150" i="8"/>
  <c r="J150" i="8" s="1"/>
  <c r="I153" i="8"/>
  <c r="J153" i="8" s="1"/>
  <c r="I154" i="8"/>
  <c r="J154" i="8" s="1"/>
  <c r="I156" i="8"/>
  <c r="J156" i="8" s="1"/>
  <c r="I157" i="8"/>
  <c r="J157" i="8" s="1"/>
  <c r="I159" i="8"/>
  <c r="J159" i="8" s="1"/>
  <c r="I160" i="8"/>
  <c r="J160" i="8" s="1"/>
  <c r="I162" i="8"/>
  <c r="J162" i="8" s="1"/>
  <c r="I163" i="8"/>
  <c r="J163" i="8" s="1"/>
  <c r="I166" i="8"/>
  <c r="J166" i="8" s="1"/>
  <c r="I167" i="8"/>
  <c r="J167" i="8" s="1"/>
  <c r="I169" i="8"/>
  <c r="J169" i="8" s="1"/>
  <c r="I170" i="8"/>
  <c r="J170" i="8" s="1"/>
  <c r="I172" i="8"/>
  <c r="J172" i="8" s="1"/>
  <c r="I173" i="8"/>
  <c r="J173" i="8" s="1"/>
  <c r="I175" i="8"/>
  <c r="J175" i="8" s="1"/>
  <c r="I176" i="8"/>
  <c r="J176" i="8" s="1"/>
  <c r="I179" i="8"/>
  <c r="J179" i="8" s="1"/>
  <c r="I180" i="8"/>
  <c r="J180" i="8" s="1"/>
  <c r="I182" i="8"/>
  <c r="J182" i="8" s="1"/>
  <c r="I183" i="8"/>
  <c r="J183" i="8" s="1"/>
  <c r="I185" i="8"/>
  <c r="J185" i="8" s="1"/>
  <c r="I186" i="8"/>
  <c r="J186" i="8" s="1"/>
  <c r="I188" i="8"/>
  <c r="J188" i="8" s="1"/>
  <c r="I189" i="8"/>
  <c r="J189" i="8" s="1"/>
  <c r="I192" i="8"/>
  <c r="J192" i="8" s="1"/>
  <c r="I193" i="8"/>
  <c r="J193" i="8" s="1"/>
  <c r="I195" i="8"/>
  <c r="J195" i="8" s="1"/>
  <c r="I196" i="8"/>
  <c r="J196" i="8" s="1"/>
  <c r="I198" i="8"/>
  <c r="J198" i="8" s="1"/>
  <c r="I199" i="8"/>
  <c r="J199" i="8" s="1"/>
  <c r="I201" i="8"/>
  <c r="J201" i="8" s="1"/>
  <c r="I202" i="8"/>
  <c r="J202" i="8" s="1"/>
  <c r="I20" i="8"/>
  <c r="J20" i="8" s="1"/>
  <c r="I19" i="8"/>
  <c r="J19" i="8" s="1"/>
  <c r="I17" i="8"/>
  <c r="J17" i="8" s="1"/>
  <c r="I16" i="8"/>
  <c r="J16" i="8" s="1"/>
  <c r="I14" i="8"/>
  <c r="J14" i="8" s="1"/>
  <c r="I13" i="8"/>
  <c r="J13" i="8" s="1"/>
  <c r="I11" i="8"/>
  <c r="J11" i="8" s="1"/>
  <c r="I10" i="8"/>
  <c r="J10" i="8" s="1"/>
  <c r="I7" i="8"/>
  <c r="J7" i="8" s="1"/>
  <c r="I6" i="8"/>
  <c r="M206" i="8"/>
  <c r="N205" i="8"/>
  <c r="M205" i="8"/>
  <c r="A112" i="8"/>
  <c r="A125" i="8" s="1"/>
  <c r="A138" i="8" s="1"/>
  <c r="A151" i="8" s="1"/>
  <c r="A164" i="8" s="1"/>
  <c r="A177" i="8" s="1"/>
  <c r="A190" i="8" s="1"/>
  <c r="A203" i="8" s="1"/>
  <c r="I8" i="8" l="1"/>
  <c r="J6" i="8"/>
  <c r="E203" i="7" l="1"/>
  <c r="E204" i="8" s="1"/>
  <c r="E201" i="7"/>
  <c r="E202" i="8" s="1"/>
  <c r="E200" i="7"/>
  <c r="E201" i="8" s="1"/>
  <c r="M205" i="7"/>
  <c r="N204" i="7"/>
  <c r="M204" i="7"/>
  <c r="L204" i="7"/>
  <c r="A111" i="7"/>
  <c r="A124" i="7" s="1"/>
  <c r="A137" i="7" s="1"/>
  <c r="A150" i="7" s="1"/>
  <c r="A163" i="7" s="1"/>
  <c r="A176" i="7" s="1"/>
  <c r="A189" i="7" s="1"/>
  <c r="A202" i="7" s="1"/>
  <c r="F9" i="7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0" i="7" s="1"/>
  <c r="F91" i="7" s="1"/>
  <c r="F92" i="7" s="1"/>
  <c r="F93" i="7" s="1"/>
  <c r="F94" i="7" s="1"/>
  <c r="F95" i="7" s="1"/>
  <c r="F96" i="7" s="1"/>
  <c r="F97" i="7" s="1"/>
  <c r="F98" i="7" s="1"/>
  <c r="F99" i="7" s="1"/>
  <c r="F100" i="7" s="1"/>
  <c r="F101" i="7" s="1"/>
  <c r="F102" i="7" s="1"/>
  <c r="F103" i="7" s="1"/>
  <c r="F104" i="7" s="1"/>
  <c r="F105" i="7" s="1"/>
  <c r="F106" i="7" s="1"/>
  <c r="F107" i="7" s="1"/>
  <c r="F108" i="7" s="1"/>
  <c r="F109" i="7" s="1"/>
  <c r="F110" i="7" s="1"/>
  <c r="F111" i="7" s="1"/>
  <c r="F112" i="7" s="1"/>
  <c r="F113" i="7" s="1"/>
  <c r="F114" i="7" s="1"/>
  <c r="F115" i="7" s="1"/>
  <c r="F116" i="7" s="1"/>
  <c r="F117" i="7" s="1"/>
  <c r="F118" i="7" s="1"/>
  <c r="F119" i="7" s="1"/>
  <c r="F120" i="7" s="1"/>
  <c r="F121" i="7" s="1"/>
  <c r="F122" i="7" s="1"/>
  <c r="F123" i="7" s="1"/>
  <c r="F124" i="7" s="1"/>
  <c r="F125" i="7" s="1"/>
  <c r="F126" i="7" s="1"/>
  <c r="F127" i="7" s="1"/>
  <c r="F128" i="7" s="1"/>
  <c r="F129" i="7" s="1"/>
  <c r="F130" i="7" s="1"/>
  <c r="F131" i="7" s="1"/>
  <c r="F132" i="7" s="1"/>
  <c r="F133" i="7" s="1"/>
  <c r="F134" i="7" s="1"/>
  <c r="F135" i="7" s="1"/>
  <c r="F136" i="7" s="1"/>
  <c r="F137" i="7" s="1"/>
  <c r="F138" i="7" s="1"/>
  <c r="F139" i="7" s="1"/>
  <c r="F140" i="7" s="1"/>
  <c r="F141" i="7" s="1"/>
  <c r="F142" i="7" s="1"/>
  <c r="F143" i="7" s="1"/>
  <c r="F144" i="7" s="1"/>
  <c r="F145" i="7" s="1"/>
  <c r="F146" i="7" s="1"/>
  <c r="F147" i="7" s="1"/>
  <c r="F148" i="7" s="1"/>
  <c r="F149" i="7" s="1"/>
  <c r="F150" i="7" s="1"/>
  <c r="F151" i="7" s="1"/>
  <c r="F152" i="7" s="1"/>
  <c r="F153" i="7" s="1"/>
  <c r="F154" i="7" s="1"/>
  <c r="F155" i="7" s="1"/>
  <c r="F156" i="7" s="1"/>
  <c r="F157" i="7" s="1"/>
  <c r="F158" i="7" s="1"/>
  <c r="F159" i="7" s="1"/>
  <c r="F160" i="7" s="1"/>
  <c r="F161" i="7" s="1"/>
  <c r="F162" i="7" s="1"/>
  <c r="F163" i="7" s="1"/>
  <c r="F164" i="7" s="1"/>
  <c r="F165" i="7" s="1"/>
  <c r="F166" i="7" s="1"/>
  <c r="F167" i="7" s="1"/>
  <c r="F168" i="7" s="1"/>
  <c r="F169" i="7" s="1"/>
  <c r="F170" i="7" s="1"/>
  <c r="F171" i="7" s="1"/>
  <c r="F172" i="7" s="1"/>
  <c r="F173" i="7" s="1"/>
  <c r="F174" i="7" s="1"/>
  <c r="F175" i="7" s="1"/>
  <c r="F176" i="7" s="1"/>
  <c r="F177" i="7" s="1"/>
  <c r="F178" i="7" s="1"/>
  <c r="F179" i="7" s="1"/>
  <c r="F180" i="7" s="1"/>
  <c r="F181" i="7" s="1"/>
  <c r="F182" i="7" s="1"/>
  <c r="F183" i="7" s="1"/>
  <c r="F184" i="7" s="1"/>
  <c r="F185" i="7" s="1"/>
  <c r="F186" i="7" s="1"/>
  <c r="F187" i="7" s="1"/>
  <c r="F188" i="7" s="1"/>
  <c r="F189" i="7" s="1"/>
  <c r="F190" i="7" s="1"/>
  <c r="F191" i="7" s="1"/>
  <c r="F192" i="7" s="1"/>
  <c r="F193" i="7" s="1"/>
  <c r="F194" i="7" s="1"/>
  <c r="F195" i="7" s="1"/>
  <c r="F196" i="7" s="1"/>
  <c r="F197" i="7" s="1"/>
  <c r="F198" i="7" s="1"/>
  <c r="F199" i="7" s="1"/>
  <c r="F200" i="7" s="1"/>
  <c r="I7" i="7"/>
  <c r="F7" i="7"/>
  <c r="M205" i="6"/>
  <c r="N204" i="6"/>
  <c r="M204" i="6"/>
  <c r="L204" i="6"/>
  <c r="M200" i="6"/>
  <c r="M199" i="6"/>
  <c r="M198" i="6"/>
  <c r="M197" i="6"/>
  <c r="M196" i="6"/>
  <c r="M195" i="6"/>
  <c r="M194" i="6"/>
  <c r="M193" i="6"/>
  <c r="M192" i="6"/>
  <c r="M191" i="6"/>
  <c r="M190" i="6"/>
  <c r="D204" i="6"/>
  <c r="D203" i="6"/>
  <c r="N5" i="6"/>
  <c r="N6" i="8" s="1"/>
  <c r="I7" i="6"/>
  <c r="F7" i="6"/>
  <c r="F10" i="6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F76" i="6" s="1"/>
  <c r="F77" i="6" s="1"/>
  <c r="F78" i="6" s="1"/>
  <c r="F79" i="6" s="1"/>
  <c r="F80" i="6" s="1"/>
  <c r="F81" i="6" s="1"/>
  <c r="F82" i="6" s="1"/>
  <c r="F83" i="6" s="1"/>
  <c r="F84" i="6" s="1"/>
  <c r="F85" i="6" s="1"/>
  <c r="F86" i="6" s="1"/>
  <c r="F87" i="6" s="1"/>
  <c r="F88" i="6" s="1"/>
  <c r="F89" i="6" s="1"/>
  <c r="F90" i="6" s="1"/>
  <c r="F91" i="6" s="1"/>
  <c r="F92" i="6" s="1"/>
  <c r="F93" i="6" s="1"/>
  <c r="F94" i="6" s="1"/>
  <c r="F95" i="6" s="1"/>
  <c r="F96" i="6" s="1"/>
  <c r="F97" i="6" s="1"/>
  <c r="F98" i="6" s="1"/>
  <c r="F99" i="6" s="1"/>
  <c r="F100" i="6" s="1"/>
  <c r="F101" i="6" s="1"/>
  <c r="F102" i="6" s="1"/>
  <c r="F103" i="6" s="1"/>
  <c r="F104" i="6" s="1"/>
  <c r="F105" i="6" s="1"/>
  <c r="F106" i="6" s="1"/>
  <c r="F107" i="6" s="1"/>
  <c r="F108" i="6" s="1"/>
  <c r="F109" i="6" s="1"/>
  <c r="F110" i="6" s="1"/>
  <c r="F111" i="6" s="1"/>
  <c r="F112" i="6" s="1"/>
  <c r="F113" i="6" s="1"/>
  <c r="F114" i="6" s="1"/>
  <c r="F115" i="6" s="1"/>
  <c r="F116" i="6" s="1"/>
  <c r="F117" i="6" s="1"/>
  <c r="F118" i="6" s="1"/>
  <c r="F119" i="6" s="1"/>
  <c r="F120" i="6" s="1"/>
  <c r="F121" i="6" s="1"/>
  <c r="F122" i="6" s="1"/>
  <c r="F123" i="6" s="1"/>
  <c r="F124" i="6" s="1"/>
  <c r="F125" i="6" s="1"/>
  <c r="F126" i="6" s="1"/>
  <c r="F127" i="6" s="1"/>
  <c r="F128" i="6" s="1"/>
  <c r="F129" i="6" s="1"/>
  <c r="F130" i="6" s="1"/>
  <c r="F131" i="6" s="1"/>
  <c r="F132" i="6" s="1"/>
  <c r="F133" i="6" s="1"/>
  <c r="F134" i="6" s="1"/>
  <c r="F135" i="6" s="1"/>
  <c r="F136" i="6" s="1"/>
  <c r="F137" i="6" s="1"/>
  <c r="F138" i="6" s="1"/>
  <c r="F139" i="6" s="1"/>
  <c r="F140" i="6" s="1"/>
  <c r="F141" i="6" s="1"/>
  <c r="F142" i="6" s="1"/>
  <c r="F143" i="6" s="1"/>
  <c r="F144" i="6" s="1"/>
  <c r="F145" i="6" s="1"/>
  <c r="F146" i="6" s="1"/>
  <c r="F147" i="6" s="1"/>
  <c r="F148" i="6" s="1"/>
  <c r="F149" i="6" s="1"/>
  <c r="F150" i="6" s="1"/>
  <c r="F151" i="6" s="1"/>
  <c r="F152" i="6" s="1"/>
  <c r="F153" i="6" s="1"/>
  <c r="F154" i="6" s="1"/>
  <c r="F155" i="6" s="1"/>
  <c r="F156" i="6" s="1"/>
  <c r="F157" i="6" s="1"/>
  <c r="F158" i="6" s="1"/>
  <c r="F159" i="6" s="1"/>
  <c r="F160" i="6" s="1"/>
  <c r="F161" i="6" s="1"/>
  <c r="F162" i="6" s="1"/>
  <c r="F163" i="6" s="1"/>
  <c r="F164" i="6" s="1"/>
  <c r="F165" i="6" s="1"/>
  <c r="F166" i="6" s="1"/>
  <c r="F167" i="6" s="1"/>
  <c r="F168" i="6" s="1"/>
  <c r="F169" i="6" s="1"/>
  <c r="F170" i="6" s="1"/>
  <c r="F171" i="6" s="1"/>
  <c r="F172" i="6" s="1"/>
  <c r="F173" i="6" s="1"/>
  <c r="F174" i="6" s="1"/>
  <c r="F175" i="6" s="1"/>
  <c r="F176" i="6" s="1"/>
  <c r="F177" i="6" s="1"/>
  <c r="F178" i="6" s="1"/>
  <c r="F179" i="6" s="1"/>
  <c r="F180" i="6" s="1"/>
  <c r="F181" i="6" s="1"/>
  <c r="F182" i="6" s="1"/>
  <c r="F183" i="6" s="1"/>
  <c r="F184" i="6" s="1"/>
  <c r="F185" i="6" s="1"/>
  <c r="F186" i="6" s="1"/>
  <c r="F187" i="6" s="1"/>
  <c r="F188" i="6" s="1"/>
  <c r="F189" i="6" s="1"/>
  <c r="F190" i="6" s="1"/>
  <c r="F191" i="6" s="1"/>
  <c r="F192" i="6" s="1"/>
  <c r="F193" i="6" s="1"/>
  <c r="F194" i="6" s="1"/>
  <c r="F195" i="6" s="1"/>
  <c r="F196" i="6" s="1"/>
  <c r="F197" i="6" s="1"/>
  <c r="F198" i="6" s="1"/>
  <c r="F199" i="6" s="1"/>
  <c r="F200" i="6" s="1"/>
  <c r="F9" i="6"/>
  <c r="A111" i="6"/>
  <c r="A124" i="6" s="1"/>
  <c r="A137" i="6" s="1"/>
  <c r="A150" i="6" s="1"/>
  <c r="A163" i="6" s="1"/>
  <c r="A176" i="6" s="1"/>
  <c r="A189" i="6" s="1"/>
  <c r="A202" i="6" s="1"/>
  <c r="N6" i="6" l="1"/>
  <c r="F201" i="6"/>
  <c r="G200" i="6"/>
  <c r="H200" i="6" s="1"/>
  <c r="F201" i="7"/>
  <c r="G200" i="7"/>
  <c r="N7" i="8" l="1"/>
  <c r="N8" i="8" s="1"/>
  <c r="N7" i="6"/>
  <c r="F202" i="6"/>
  <c r="F203" i="6" s="1"/>
  <c r="G201" i="6"/>
  <c r="H201" i="6" s="1"/>
  <c r="H200" i="7"/>
  <c r="H201" i="8" s="1"/>
  <c r="G201" i="8"/>
  <c r="G201" i="7"/>
  <c r="F202" i="7"/>
  <c r="F203" i="7" s="1"/>
  <c r="N7" i="7"/>
  <c r="F204" i="6" l="1"/>
  <c r="G203" i="6"/>
  <c r="H203" i="6" s="1"/>
  <c r="H201" i="7"/>
  <c r="H202" i="8" s="1"/>
  <c r="G202" i="8"/>
  <c r="F204" i="7"/>
  <c r="G203" i="7"/>
  <c r="H203" i="7" l="1"/>
  <c r="H204" i="8" s="1"/>
  <c r="G204" i="8"/>
  <c r="N2" i="3" l="1"/>
  <c r="O2" i="3"/>
  <c r="P2" i="3"/>
  <c r="Q2" i="3"/>
  <c r="R2" i="3"/>
  <c r="S2" i="3"/>
  <c r="T2" i="3"/>
  <c r="U2" i="3"/>
  <c r="Z12" i="5"/>
  <c r="V11" i="5"/>
  <c r="U11" i="5"/>
  <c r="T11" i="5"/>
  <c r="S11" i="5"/>
  <c r="R11" i="5"/>
  <c r="Q11" i="5"/>
  <c r="P11" i="5"/>
  <c r="O11" i="5"/>
  <c r="D11" i="5"/>
  <c r="E10" i="5" s="1"/>
  <c r="G10" i="5" s="1"/>
  <c r="E8" i="5"/>
  <c r="G8" i="5" s="1"/>
  <c r="M8" i="5" s="1"/>
  <c r="N8" i="5" s="1"/>
  <c r="E6" i="5"/>
  <c r="G6" i="5" s="1"/>
  <c r="M6" i="5" s="1"/>
  <c r="N6" i="5" s="1"/>
  <c r="E5" i="5"/>
  <c r="G5" i="5" s="1"/>
  <c r="F5" i="5" s="1"/>
  <c r="E4" i="5"/>
  <c r="G4" i="5" s="1"/>
  <c r="F4" i="5" s="1"/>
  <c r="A4" i="5"/>
  <c r="A5" i="5" s="1"/>
  <c r="A6" i="5" s="1"/>
  <c r="A7" i="5" s="1"/>
  <c r="A8" i="5" s="1"/>
  <c r="A9" i="5" s="1"/>
  <c r="E3" i="5"/>
  <c r="E7" i="5" l="1"/>
  <c r="G7" i="5" s="1"/>
  <c r="F8" i="5"/>
  <c r="W4" i="5"/>
  <c r="X4" i="5" s="1"/>
  <c r="M7" i="5"/>
  <c r="N7" i="5" s="1"/>
  <c r="F7" i="5"/>
  <c r="W8" i="5"/>
  <c r="X8" i="5" s="1"/>
  <c r="K5" i="5"/>
  <c r="K8" i="5"/>
  <c r="G3" i="5"/>
  <c r="F3" i="5" s="1"/>
  <c r="W3" i="5" s="1"/>
  <c r="F6" i="5"/>
  <c r="E9" i="5"/>
  <c r="G9" i="5" s="1"/>
  <c r="M9" i="5" s="1"/>
  <c r="N9" i="5" s="1"/>
  <c r="W5" i="5"/>
  <c r="X5" i="5" s="1"/>
  <c r="M10" i="5"/>
  <c r="N10" i="5" s="1"/>
  <c r="F10" i="5"/>
  <c r="W10" i="5" s="1"/>
  <c r="M5" i="5"/>
  <c r="N5" i="5" s="1"/>
  <c r="M4" i="5"/>
  <c r="N4" i="5" s="1"/>
  <c r="M3" i="5" l="1"/>
  <c r="M11" i="5" s="1"/>
  <c r="W6" i="5"/>
  <c r="F9" i="5"/>
  <c r="F11" i="5" s="1"/>
  <c r="W7" i="5"/>
  <c r="G11" i="5"/>
  <c r="E11" i="5"/>
  <c r="X10" i="5"/>
  <c r="X3" i="5"/>
  <c r="N3" i="5" l="1"/>
  <c r="N11" i="5" s="1"/>
  <c r="Q198" i="3"/>
  <c r="N199" i="3"/>
  <c r="R199" i="3"/>
  <c r="X6" i="5"/>
  <c r="R198" i="3"/>
  <c r="N198" i="3"/>
  <c r="Q199" i="3"/>
  <c r="X7" i="5"/>
  <c r="W9" i="5"/>
  <c r="T199" i="3"/>
  <c r="T201" i="3"/>
  <c r="T202" i="3" s="1"/>
  <c r="T198" i="3"/>
  <c r="S199" i="3"/>
  <c r="O201" i="3"/>
  <c r="O202" i="3" s="1"/>
  <c r="P198" i="3"/>
  <c r="O198" i="3"/>
  <c r="S201" i="3"/>
  <c r="S202" i="3" s="1"/>
  <c r="P199" i="3"/>
  <c r="O199" i="3"/>
  <c r="P201" i="3"/>
  <c r="P202" i="3" s="1"/>
  <c r="S198" i="3"/>
  <c r="R201" i="3"/>
  <c r="R202" i="3" s="1"/>
  <c r="N201" i="3"/>
  <c r="Q201" i="3"/>
  <c r="Q202" i="3" s="1"/>
  <c r="U199" i="3" l="1"/>
  <c r="U201" i="3"/>
  <c r="U202" i="3" s="1"/>
  <c r="N202" i="3"/>
  <c r="X9" i="5"/>
  <c r="W11" i="5"/>
  <c r="U198" i="3"/>
  <c r="Y10" i="5" l="1"/>
  <c r="AE10" i="5"/>
  <c r="AE8" i="5"/>
  <c r="AE4" i="5"/>
  <c r="AE5" i="5"/>
  <c r="Y3" i="5"/>
  <c r="AE3" i="5"/>
  <c r="AE6" i="5"/>
  <c r="Y9" i="5"/>
  <c r="Y6" i="5"/>
  <c r="Y8" i="5"/>
  <c r="W13" i="5"/>
  <c r="W14" i="5" s="1"/>
  <c r="AE7" i="5"/>
  <c r="Y4" i="5"/>
  <c r="Y7" i="5"/>
  <c r="Y5" i="5"/>
  <c r="X11" i="5"/>
  <c r="AE9" i="5"/>
  <c r="Z7" i="5" l="1"/>
  <c r="AB7" i="5"/>
  <c r="AA7" i="5"/>
  <c r="AB8" i="5"/>
  <c r="AA8" i="5"/>
  <c r="Z8" i="5"/>
  <c r="X13" i="5"/>
  <c r="X14" i="5" s="1"/>
  <c r="X16" i="5" s="1"/>
  <c r="AF5" i="5"/>
  <c r="AF8" i="5"/>
  <c r="AF4" i="5"/>
  <c r="AF10" i="5"/>
  <c r="AF3" i="5"/>
  <c r="AF7" i="5"/>
  <c r="AF6" i="5"/>
  <c r="AA3" i="5"/>
  <c r="AB3" i="5"/>
  <c r="Z3" i="5"/>
  <c r="Z5" i="5"/>
  <c r="AB5" i="5"/>
  <c r="AA5" i="5"/>
  <c r="Z4" i="5"/>
  <c r="AA4" i="5"/>
  <c r="AB4" i="5"/>
  <c r="AB6" i="5"/>
  <c r="Z6" i="5"/>
  <c r="AA6" i="5"/>
  <c r="AF9" i="5"/>
  <c r="AB9" i="5"/>
  <c r="Z9" i="5"/>
  <c r="AA9" i="5"/>
  <c r="AB10" i="5"/>
  <c r="Z10" i="5"/>
  <c r="AA10" i="5"/>
  <c r="M200" i="3" l="1"/>
  <c r="L203" i="3"/>
  <c r="A109" i="3" l="1"/>
  <c r="A122" i="3" s="1"/>
  <c r="A135" i="3" s="1"/>
  <c r="A148" i="3" s="1"/>
  <c r="A161" i="3" s="1"/>
  <c r="A174" i="3" s="1"/>
  <c r="A187" i="3" s="1"/>
  <c r="A200" i="3" s="1"/>
  <c r="J200" i="3"/>
  <c r="H187" i="3"/>
  <c r="H175" i="3" s="1"/>
  <c r="H174" i="3"/>
  <c r="H162" i="3" s="1"/>
  <c r="H161" i="3"/>
  <c r="H149" i="3" s="1"/>
  <c r="H148" i="3"/>
  <c r="H136" i="3" s="1"/>
  <c r="H135" i="3"/>
  <c r="H123" i="3" s="1"/>
  <c r="H122" i="3"/>
  <c r="H110" i="3" s="1"/>
  <c r="H109" i="3"/>
  <c r="H97" i="3" s="1"/>
  <c r="H96" i="3"/>
  <c r="H84" i="3" s="1"/>
  <c r="H83" i="3"/>
  <c r="H71" i="3" s="1"/>
  <c r="H70" i="3"/>
  <c r="H58" i="3" s="1"/>
  <c r="H57" i="3"/>
  <c r="H45" i="3" s="1"/>
  <c r="H44" i="3"/>
  <c r="H32" i="3" s="1"/>
  <c r="H31" i="3"/>
  <c r="H19" i="3" s="1"/>
  <c r="H18" i="3"/>
  <c r="D17" i="2"/>
  <c r="D18" i="2" s="1"/>
  <c r="D16" i="2"/>
  <c r="C16" i="2" s="1"/>
  <c r="B16" i="2" s="1"/>
  <c r="B13" i="2"/>
  <c r="D10" i="2"/>
  <c r="E10" i="2" s="1"/>
  <c r="C10" i="2" s="1"/>
  <c r="B6" i="2"/>
  <c r="D5" i="2"/>
  <c r="D6" i="2" s="1"/>
  <c r="E4" i="2"/>
  <c r="D13" i="2" l="1"/>
  <c r="D14" i="2" s="1"/>
  <c r="C4" i="2"/>
  <c r="F4" i="2"/>
  <c r="G4" i="2" s="1"/>
  <c r="B3" i="4"/>
  <c r="D15" i="2"/>
  <c r="C18" i="2"/>
  <c r="B18" i="2" s="1"/>
  <c r="D19" i="2"/>
  <c r="E13" i="2"/>
  <c r="E30" i="2" s="1"/>
  <c r="H200" i="3" s="1"/>
  <c r="H188" i="3" s="1"/>
  <c r="C17" i="2"/>
  <c r="B17" i="2" s="1"/>
  <c r="E6" i="2"/>
  <c r="H204" i="3"/>
  <c r="H111" i="3"/>
  <c r="H112" i="3" s="1"/>
  <c r="H113" i="3" s="1"/>
  <c r="H72" i="3"/>
  <c r="H73" i="3" s="1"/>
  <c r="H74" i="3" s="1"/>
  <c r="H176" i="3"/>
  <c r="H177" i="3" s="1"/>
  <c r="H178" i="3" s="1"/>
  <c r="H85" i="3"/>
  <c r="H86" i="3" s="1"/>
  <c r="H87" i="3" s="1"/>
  <c r="H59" i="3"/>
  <c r="H60" i="3" s="1"/>
  <c r="H61" i="3" s="1"/>
  <c r="H124" i="3"/>
  <c r="H125" i="3" s="1"/>
  <c r="H126" i="3" s="1"/>
  <c r="H98" i="3"/>
  <c r="H99" i="3" s="1"/>
  <c r="H100" i="3" s="1"/>
  <c r="H163" i="3"/>
  <c r="H150" i="3"/>
  <c r="H137" i="3"/>
  <c r="H46" i="3"/>
  <c r="H33" i="3"/>
  <c r="H20" i="3"/>
  <c r="H6" i="3"/>
  <c r="E5" i="2"/>
  <c r="B204" i="3" l="1"/>
  <c r="E207" i="8"/>
  <c r="E206" i="7"/>
  <c r="E206" i="6"/>
  <c r="D3" i="4"/>
  <c r="B4" i="4"/>
  <c r="C4" i="4" s="1"/>
  <c r="D4" i="4" s="1"/>
  <c r="D5" i="4" s="1"/>
  <c r="D6" i="4" s="1"/>
  <c r="C6" i="2"/>
  <c r="E204" i="3"/>
  <c r="D20" i="2"/>
  <c r="C19" i="2"/>
  <c r="B19" i="2" s="1"/>
  <c r="H3" i="3"/>
  <c r="C13" i="2"/>
  <c r="H189" i="3"/>
  <c r="H179" i="3"/>
  <c r="H164" i="3"/>
  <c r="H151" i="3"/>
  <c r="H138" i="3"/>
  <c r="H127" i="3"/>
  <c r="H114" i="3"/>
  <c r="H101" i="3"/>
  <c r="H88" i="3"/>
  <c r="H75" i="3"/>
  <c r="H62" i="3"/>
  <c r="H47" i="3"/>
  <c r="H34" i="3"/>
  <c r="H21" i="3"/>
  <c r="H7" i="3"/>
  <c r="E8" i="2"/>
  <c r="E5" i="6" s="1"/>
  <c r="C5" i="2"/>
  <c r="E9" i="2"/>
  <c r="C9" i="2" s="1"/>
  <c r="B9" i="2" s="1"/>
  <c r="G5" i="6" l="1"/>
  <c r="E6" i="6"/>
  <c r="E7" i="6" s="1"/>
  <c r="B5" i="4"/>
  <c r="C8" i="2"/>
  <c r="B8" i="2" s="1"/>
  <c r="B3" i="3"/>
  <c r="E3" i="3" s="1"/>
  <c r="E5" i="7" s="1"/>
  <c r="E6" i="8" s="1"/>
  <c r="E14" i="2"/>
  <c r="D21" i="2"/>
  <c r="C20" i="2"/>
  <c r="B20" i="2" s="1"/>
  <c r="K3" i="3"/>
  <c r="I3" i="3" s="1"/>
  <c r="H4" i="3"/>
  <c r="H190" i="3"/>
  <c r="H180" i="3"/>
  <c r="H165" i="3"/>
  <c r="H152" i="3"/>
  <c r="H139" i="3"/>
  <c r="H128" i="3"/>
  <c r="H115" i="3"/>
  <c r="H102" i="3"/>
  <c r="H89" i="3"/>
  <c r="H76" i="3"/>
  <c r="H63" i="3"/>
  <c r="H48" i="3"/>
  <c r="H35" i="3"/>
  <c r="H22" i="3"/>
  <c r="H8" i="3"/>
  <c r="G6" i="6" l="1"/>
  <c r="H6" i="6" s="1"/>
  <c r="E8" i="6"/>
  <c r="H5" i="6"/>
  <c r="H7" i="6" s="1"/>
  <c r="I8" i="6" s="1"/>
  <c r="G7" i="6"/>
  <c r="G5" i="7"/>
  <c r="G6" i="8" s="1"/>
  <c r="F6" i="8" s="1"/>
  <c r="S3" i="3"/>
  <c r="O3" i="3"/>
  <c r="R3" i="3"/>
  <c r="N3" i="3"/>
  <c r="Q3" i="3"/>
  <c r="T3" i="3"/>
  <c r="P3" i="3"/>
  <c r="C3" i="4"/>
  <c r="C5" i="4" s="1"/>
  <c r="C6" i="4" s="1"/>
  <c r="B6" i="4"/>
  <c r="B7" i="4" s="1"/>
  <c r="D22" i="2"/>
  <c r="C21" i="2"/>
  <c r="B21" i="2" s="1"/>
  <c r="F3" i="3"/>
  <c r="B4" i="3"/>
  <c r="E4" i="3" s="1"/>
  <c r="C3" i="3"/>
  <c r="K4" i="3"/>
  <c r="H5" i="3"/>
  <c r="H203" i="3" s="1"/>
  <c r="G12" i="5" s="1"/>
  <c r="C14" i="2"/>
  <c r="B14" i="2" s="1"/>
  <c r="E15" i="2"/>
  <c r="C15" i="2" s="1"/>
  <c r="B15" i="2" s="1"/>
  <c r="H191" i="3"/>
  <c r="H181" i="3"/>
  <c r="H166" i="3"/>
  <c r="H153" i="3"/>
  <c r="H140" i="3"/>
  <c r="H129" i="3"/>
  <c r="H116" i="3"/>
  <c r="H103" i="3"/>
  <c r="H90" i="3"/>
  <c r="H77" i="3"/>
  <c r="H64" i="3"/>
  <c r="H49" i="3"/>
  <c r="H36" i="3"/>
  <c r="H23" i="3"/>
  <c r="H9" i="3"/>
  <c r="J8" i="6" l="1"/>
  <c r="N8" i="6"/>
  <c r="G8" i="6"/>
  <c r="E9" i="6"/>
  <c r="E21" i="6"/>
  <c r="B5" i="3"/>
  <c r="F4" i="3"/>
  <c r="G4" i="3" s="1"/>
  <c r="E6" i="7"/>
  <c r="E7" i="8" s="1"/>
  <c r="E8" i="8" s="1"/>
  <c r="E5" i="3"/>
  <c r="H5" i="7"/>
  <c r="H6" i="8" s="1"/>
  <c r="C7" i="4"/>
  <c r="D7" i="4" s="1"/>
  <c r="U3" i="3"/>
  <c r="H205" i="3"/>
  <c r="D198" i="1"/>
  <c r="D3" i="3"/>
  <c r="K5" i="3"/>
  <c r="I4" i="3"/>
  <c r="G3" i="3"/>
  <c r="G5" i="3" s="1"/>
  <c r="F5" i="3"/>
  <c r="C4" i="3"/>
  <c r="D4" i="3" s="1"/>
  <c r="B6" i="3"/>
  <c r="D23" i="2"/>
  <c r="C22" i="2"/>
  <c r="B22" i="2" s="1"/>
  <c r="H192" i="3"/>
  <c r="H182" i="3"/>
  <c r="H167" i="3"/>
  <c r="H154" i="3"/>
  <c r="H141" i="3"/>
  <c r="H130" i="3"/>
  <c r="H117" i="3"/>
  <c r="H104" i="3"/>
  <c r="H91" i="3"/>
  <c r="H78" i="3"/>
  <c r="H65" i="3"/>
  <c r="H50" i="3"/>
  <c r="H37" i="3"/>
  <c r="H24" i="3"/>
  <c r="H10" i="3"/>
  <c r="H8" i="6" l="1"/>
  <c r="G21" i="6"/>
  <c r="E22" i="6"/>
  <c r="E34" i="6"/>
  <c r="N9" i="8"/>
  <c r="N9" i="6"/>
  <c r="G9" i="6"/>
  <c r="H9" i="6" s="1"/>
  <c r="E10" i="6"/>
  <c r="G6" i="7"/>
  <c r="G7" i="8" s="1"/>
  <c r="F7" i="8" s="1"/>
  <c r="E7" i="7"/>
  <c r="I5" i="3"/>
  <c r="S4" i="3"/>
  <c r="S5" i="3" s="1"/>
  <c r="O4" i="3"/>
  <c r="O5" i="3" s="1"/>
  <c r="R4" i="3"/>
  <c r="R5" i="3" s="1"/>
  <c r="N4" i="3"/>
  <c r="Q4" i="3"/>
  <c r="Q5" i="3" s="1"/>
  <c r="P4" i="3"/>
  <c r="P5" i="3" s="1"/>
  <c r="T4" i="3"/>
  <c r="T5" i="3" s="1"/>
  <c r="D5" i="3"/>
  <c r="C6" i="3"/>
  <c r="D6" i="3" s="1"/>
  <c r="B7" i="3"/>
  <c r="B19" i="3"/>
  <c r="E6" i="3"/>
  <c r="C5" i="3"/>
  <c r="D24" i="2"/>
  <c r="C23" i="2"/>
  <c r="B23" i="2" s="1"/>
  <c r="H193" i="3"/>
  <c r="H183" i="3"/>
  <c r="H168" i="3"/>
  <c r="H155" i="3"/>
  <c r="H142" i="3"/>
  <c r="H131" i="3"/>
  <c r="H118" i="3"/>
  <c r="H105" i="3"/>
  <c r="H92" i="3"/>
  <c r="H79" i="3"/>
  <c r="H66" i="3"/>
  <c r="H51" i="3"/>
  <c r="H38" i="3"/>
  <c r="H25" i="3"/>
  <c r="H11" i="3"/>
  <c r="G22" i="6" l="1"/>
  <c r="H22" i="6" s="1"/>
  <c r="E23" i="6"/>
  <c r="H21" i="6"/>
  <c r="N10" i="8"/>
  <c r="N10" i="6"/>
  <c r="G10" i="6"/>
  <c r="H10" i="6" s="1"/>
  <c r="I11" i="6" s="1"/>
  <c r="E11" i="6"/>
  <c r="G34" i="6"/>
  <c r="E35" i="6"/>
  <c r="E47" i="6"/>
  <c r="G8" i="8"/>
  <c r="F8" i="8" s="1"/>
  <c r="F6" i="3"/>
  <c r="E8" i="7"/>
  <c r="E9" i="8" s="1"/>
  <c r="H6" i="7"/>
  <c r="G7" i="7"/>
  <c r="U4" i="3"/>
  <c r="U5" i="3" s="1"/>
  <c r="N5" i="3"/>
  <c r="D25" i="2"/>
  <c r="C24" i="2"/>
  <c r="B24" i="2" s="1"/>
  <c r="C7" i="3"/>
  <c r="D7" i="3" s="1"/>
  <c r="B8" i="3"/>
  <c r="E7" i="3"/>
  <c r="I6" i="3"/>
  <c r="G6" i="3"/>
  <c r="E19" i="3"/>
  <c r="B20" i="3"/>
  <c r="C19" i="3"/>
  <c r="D19" i="3" s="1"/>
  <c r="B32" i="3"/>
  <c r="H194" i="3"/>
  <c r="H184" i="3"/>
  <c r="H169" i="3"/>
  <c r="H156" i="3"/>
  <c r="H143" i="3"/>
  <c r="H132" i="3"/>
  <c r="H119" i="3"/>
  <c r="H106" i="3"/>
  <c r="H93" i="3"/>
  <c r="H80" i="3"/>
  <c r="H67" i="3"/>
  <c r="H52" i="3"/>
  <c r="H39" i="3"/>
  <c r="H26" i="3"/>
  <c r="H12" i="3"/>
  <c r="H34" i="6" l="1"/>
  <c r="J11" i="6"/>
  <c r="G11" i="6"/>
  <c r="E12" i="6"/>
  <c r="G47" i="6"/>
  <c r="E48" i="6"/>
  <c r="E60" i="6"/>
  <c r="N11" i="6"/>
  <c r="N11" i="8"/>
  <c r="G23" i="6"/>
  <c r="E24" i="6"/>
  <c r="G35" i="6"/>
  <c r="H35" i="6" s="1"/>
  <c r="E36" i="6"/>
  <c r="H7" i="7"/>
  <c r="I8" i="7" s="1"/>
  <c r="J8" i="7" s="1"/>
  <c r="H7" i="8"/>
  <c r="H8" i="8" s="1"/>
  <c r="F19" i="3"/>
  <c r="E21" i="7"/>
  <c r="E22" i="8" s="1"/>
  <c r="G8" i="7"/>
  <c r="G9" i="8" s="1"/>
  <c r="F7" i="3"/>
  <c r="I7" i="3" s="1"/>
  <c r="E9" i="7"/>
  <c r="K6" i="3"/>
  <c r="T6" i="3"/>
  <c r="P6" i="3"/>
  <c r="S6" i="3"/>
  <c r="O6" i="3"/>
  <c r="R6" i="3"/>
  <c r="N6" i="3"/>
  <c r="Q6" i="3"/>
  <c r="B9" i="3"/>
  <c r="C8" i="3"/>
  <c r="D8" i="3" s="1"/>
  <c r="E8" i="3"/>
  <c r="E32" i="3"/>
  <c r="C32" i="3"/>
  <c r="D32" i="3" s="1"/>
  <c r="B33" i="3"/>
  <c r="B45" i="3"/>
  <c r="G19" i="3"/>
  <c r="I19" i="3"/>
  <c r="E20" i="3"/>
  <c r="C20" i="3"/>
  <c r="D20" i="3" s="1"/>
  <c r="B21" i="3"/>
  <c r="D26" i="2"/>
  <c r="C25" i="2"/>
  <c r="B25" i="2" s="1"/>
  <c r="H195" i="3"/>
  <c r="H185" i="3"/>
  <c r="H170" i="3"/>
  <c r="H157" i="3"/>
  <c r="H144" i="3"/>
  <c r="H133" i="3"/>
  <c r="H120" i="3"/>
  <c r="H107" i="3"/>
  <c r="H94" i="3"/>
  <c r="H81" i="3"/>
  <c r="H68" i="3"/>
  <c r="H53" i="3"/>
  <c r="H40" i="3"/>
  <c r="H27" i="3"/>
  <c r="H13" i="3"/>
  <c r="H47" i="6" l="1"/>
  <c r="G12" i="6"/>
  <c r="H12" i="6" s="1"/>
  <c r="E13" i="6"/>
  <c r="H23" i="6"/>
  <c r="G60" i="6"/>
  <c r="E73" i="6"/>
  <c r="E61" i="6"/>
  <c r="H11" i="6"/>
  <c r="N12" i="6"/>
  <c r="N12" i="8"/>
  <c r="G24" i="6"/>
  <c r="H24" i="6" s="1"/>
  <c r="E25" i="6"/>
  <c r="G36" i="6"/>
  <c r="H36" i="6" s="1"/>
  <c r="I37" i="6" s="1"/>
  <c r="J37" i="6" s="1"/>
  <c r="E37" i="6"/>
  <c r="G48" i="6"/>
  <c r="H48" i="6" s="1"/>
  <c r="E49" i="6"/>
  <c r="F9" i="8"/>
  <c r="G9" i="7"/>
  <c r="E10" i="8"/>
  <c r="I9" i="8"/>
  <c r="F32" i="3"/>
  <c r="G32" i="3" s="1"/>
  <c r="E34" i="7"/>
  <c r="E35" i="8" s="1"/>
  <c r="G7" i="3"/>
  <c r="F20" i="3"/>
  <c r="G20" i="3" s="1"/>
  <c r="E22" i="7"/>
  <c r="G21" i="7"/>
  <c r="G22" i="8" s="1"/>
  <c r="F8" i="3"/>
  <c r="I8" i="3" s="1"/>
  <c r="E10" i="7"/>
  <c r="H8" i="7"/>
  <c r="H9" i="8" s="1"/>
  <c r="U6" i="3"/>
  <c r="K7" i="3"/>
  <c r="Q7" i="3"/>
  <c r="T7" i="3"/>
  <c r="P7" i="3"/>
  <c r="S7" i="3"/>
  <c r="O7" i="3"/>
  <c r="N7" i="3"/>
  <c r="R7" i="3"/>
  <c r="K19" i="3"/>
  <c r="T19" i="3"/>
  <c r="P19" i="3"/>
  <c r="S19" i="3"/>
  <c r="O19" i="3"/>
  <c r="R19" i="3"/>
  <c r="N19" i="3"/>
  <c r="Q19" i="3"/>
  <c r="E45" i="3"/>
  <c r="B46" i="3"/>
  <c r="C45" i="3"/>
  <c r="D45" i="3" s="1"/>
  <c r="B58" i="3"/>
  <c r="E33" i="3"/>
  <c r="C33" i="3"/>
  <c r="D33" i="3" s="1"/>
  <c r="B34" i="3"/>
  <c r="E21" i="3"/>
  <c r="B22" i="3"/>
  <c r="C21" i="3"/>
  <c r="D21" i="3" s="1"/>
  <c r="D27" i="2"/>
  <c r="C26" i="2"/>
  <c r="B26" i="2" s="1"/>
  <c r="C9" i="3"/>
  <c r="D9" i="3" s="1"/>
  <c r="B10" i="3"/>
  <c r="E9" i="3"/>
  <c r="H196" i="3"/>
  <c r="H186" i="3"/>
  <c r="H171" i="3"/>
  <c r="H158" i="3"/>
  <c r="H145" i="3"/>
  <c r="H134" i="3"/>
  <c r="H121" i="3"/>
  <c r="H108" i="3"/>
  <c r="H95" i="3"/>
  <c r="H82" i="3"/>
  <c r="H69" i="3"/>
  <c r="H54" i="3"/>
  <c r="H41" i="3"/>
  <c r="H28" i="3"/>
  <c r="H14" i="3"/>
  <c r="J9" i="8" l="1"/>
  <c r="C3" i="9"/>
  <c r="G13" i="6"/>
  <c r="E14" i="6"/>
  <c r="I32" i="3"/>
  <c r="N13" i="8"/>
  <c r="N13" i="6"/>
  <c r="G49" i="6"/>
  <c r="H49" i="6" s="1"/>
  <c r="I50" i="6" s="1"/>
  <c r="J50" i="6" s="1"/>
  <c r="E50" i="6"/>
  <c r="H60" i="6"/>
  <c r="G25" i="6"/>
  <c r="H25" i="6" s="1"/>
  <c r="E26" i="6"/>
  <c r="G61" i="6"/>
  <c r="H61" i="6" s="1"/>
  <c r="E62" i="6"/>
  <c r="I24" i="6"/>
  <c r="J24" i="6" s="1"/>
  <c r="G37" i="6"/>
  <c r="H37" i="6" s="1"/>
  <c r="E38" i="6"/>
  <c r="G73" i="6"/>
  <c r="E86" i="6"/>
  <c r="E74" i="6"/>
  <c r="F22" i="8"/>
  <c r="G22" i="7"/>
  <c r="E23" i="8"/>
  <c r="G10" i="7"/>
  <c r="E11" i="8"/>
  <c r="H9" i="7"/>
  <c r="H10" i="8" s="1"/>
  <c r="G10" i="8"/>
  <c r="G8" i="3"/>
  <c r="F33" i="3"/>
  <c r="G33" i="3" s="1"/>
  <c r="E35" i="7"/>
  <c r="H21" i="7"/>
  <c r="H22" i="8" s="1"/>
  <c r="F21" i="3"/>
  <c r="G21" i="3" s="1"/>
  <c r="E23" i="7"/>
  <c r="E24" i="8" s="1"/>
  <c r="I20" i="3"/>
  <c r="P20" i="3" s="1"/>
  <c r="G34" i="7"/>
  <c r="G35" i="8" s="1"/>
  <c r="F9" i="3"/>
  <c r="I9" i="3" s="1"/>
  <c r="E11" i="7"/>
  <c r="F45" i="3"/>
  <c r="G45" i="3" s="1"/>
  <c r="E47" i="7"/>
  <c r="E48" i="8" s="1"/>
  <c r="K32" i="3"/>
  <c r="T32" i="3"/>
  <c r="P32" i="3"/>
  <c r="S32" i="3"/>
  <c r="O32" i="3"/>
  <c r="R32" i="3"/>
  <c r="N32" i="3"/>
  <c r="Q32" i="3"/>
  <c r="U19" i="3"/>
  <c r="U7" i="3"/>
  <c r="K8" i="3"/>
  <c r="R8" i="3"/>
  <c r="N8" i="3"/>
  <c r="Q8" i="3"/>
  <c r="T8" i="3"/>
  <c r="P8" i="3"/>
  <c r="S8" i="3"/>
  <c r="O8" i="3"/>
  <c r="D28" i="2"/>
  <c r="C27" i="2"/>
  <c r="B27" i="2" s="1"/>
  <c r="E34" i="3"/>
  <c r="C34" i="3"/>
  <c r="D34" i="3" s="1"/>
  <c r="B35" i="3"/>
  <c r="E58" i="3"/>
  <c r="C58" i="3"/>
  <c r="D58" i="3" s="1"/>
  <c r="B71" i="3"/>
  <c r="B59" i="3"/>
  <c r="B11" i="3"/>
  <c r="C10" i="3"/>
  <c r="D10" i="3" s="1"/>
  <c r="E10" i="3"/>
  <c r="E46" i="3"/>
  <c r="B47" i="3"/>
  <c r="C46" i="3"/>
  <c r="D46" i="3" s="1"/>
  <c r="G9" i="3"/>
  <c r="E22" i="3"/>
  <c r="C22" i="3"/>
  <c r="D22" i="3" s="1"/>
  <c r="B23" i="3"/>
  <c r="H197" i="3"/>
  <c r="H172" i="3"/>
  <c r="H159" i="3"/>
  <c r="H146" i="3"/>
  <c r="H55" i="3"/>
  <c r="H42" i="3"/>
  <c r="H29" i="3"/>
  <c r="H15" i="3"/>
  <c r="G38" i="6" l="1"/>
  <c r="E39" i="6"/>
  <c r="G14" i="6"/>
  <c r="H14" i="6" s="1"/>
  <c r="E15" i="6"/>
  <c r="G86" i="6"/>
  <c r="E99" i="6"/>
  <c r="E87" i="6"/>
  <c r="G26" i="6"/>
  <c r="E27" i="6"/>
  <c r="N14" i="8"/>
  <c r="H13" i="6"/>
  <c r="T20" i="3"/>
  <c r="H73" i="6"/>
  <c r="G62" i="6"/>
  <c r="H62" i="6" s="1"/>
  <c r="I63" i="6" s="1"/>
  <c r="J63" i="6" s="1"/>
  <c r="E63" i="6"/>
  <c r="G50" i="6"/>
  <c r="E51" i="6"/>
  <c r="G74" i="6"/>
  <c r="H74" i="6" s="1"/>
  <c r="E75" i="6"/>
  <c r="F35" i="8"/>
  <c r="H22" i="7"/>
  <c r="H23" i="8" s="1"/>
  <c r="G23" i="8"/>
  <c r="G11" i="7"/>
  <c r="E12" i="8"/>
  <c r="F10" i="8"/>
  <c r="H10" i="7"/>
  <c r="G11" i="8"/>
  <c r="F11" i="8" s="1"/>
  <c r="G35" i="7"/>
  <c r="E36" i="8"/>
  <c r="N20" i="3"/>
  <c r="I45" i="3"/>
  <c r="O20" i="3"/>
  <c r="Q20" i="3"/>
  <c r="S20" i="3"/>
  <c r="K20" i="3"/>
  <c r="R20" i="3"/>
  <c r="F10" i="3"/>
  <c r="I10" i="3" s="1"/>
  <c r="E12" i="7"/>
  <c r="G47" i="7"/>
  <c r="G48" i="8" s="1"/>
  <c r="G23" i="7"/>
  <c r="G24" i="8" s="1"/>
  <c r="F24" i="8" s="1"/>
  <c r="F46" i="3"/>
  <c r="G46" i="3" s="1"/>
  <c r="E48" i="7"/>
  <c r="F22" i="3"/>
  <c r="E24" i="7"/>
  <c r="F58" i="3"/>
  <c r="G58" i="3" s="1"/>
  <c r="E60" i="7"/>
  <c r="E61" i="8" s="1"/>
  <c r="F34" i="3"/>
  <c r="G34" i="3" s="1"/>
  <c r="E36" i="7"/>
  <c r="E37" i="8" s="1"/>
  <c r="H34" i="7"/>
  <c r="H35" i="8" s="1"/>
  <c r="I33" i="3"/>
  <c r="P33" i="3" s="1"/>
  <c r="I21" i="3"/>
  <c r="N21" i="3" s="1"/>
  <c r="R21" i="3"/>
  <c r="Q21" i="3"/>
  <c r="P21" i="3"/>
  <c r="O21" i="3"/>
  <c r="K9" i="3"/>
  <c r="S9" i="3"/>
  <c r="O9" i="3"/>
  <c r="R9" i="3"/>
  <c r="N9" i="3"/>
  <c r="Q9" i="3"/>
  <c r="P9" i="3"/>
  <c r="T9" i="3"/>
  <c r="U8" i="3"/>
  <c r="U32" i="3"/>
  <c r="R33" i="3"/>
  <c r="K45" i="3"/>
  <c r="T45" i="3"/>
  <c r="P45" i="3"/>
  <c r="S45" i="3"/>
  <c r="O45" i="3"/>
  <c r="R45" i="3"/>
  <c r="N45" i="3"/>
  <c r="Q45" i="3"/>
  <c r="E47" i="3"/>
  <c r="C47" i="3"/>
  <c r="D47" i="3" s="1"/>
  <c r="B48" i="3"/>
  <c r="G22" i="3"/>
  <c r="I22" i="3"/>
  <c r="B12" i="3"/>
  <c r="C11" i="3"/>
  <c r="D11" i="3" s="1"/>
  <c r="E11" i="3"/>
  <c r="E23" i="3"/>
  <c r="B24" i="3"/>
  <c r="C23" i="3"/>
  <c r="D23" i="3" s="1"/>
  <c r="E71" i="3"/>
  <c r="B84" i="3"/>
  <c r="B72" i="3"/>
  <c r="C71" i="3"/>
  <c r="D71" i="3" s="1"/>
  <c r="I34" i="3"/>
  <c r="E59" i="3"/>
  <c r="C59" i="3"/>
  <c r="D59" i="3" s="1"/>
  <c r="B60" i="3"/>
  <c r="E35" i="3"/>
  <c r="B36" i="3"/>
  <c r="C35" i="3"/>
  <c r="D35" i="3" s="1"/>
  <c r="D29" i="2"/>
  <c r="C28" i="2"/>
  <c r="B28" i="2" s="1"/>
  <c r="H173" i="3"/>
  <c r="H160" i="3"/>
  <c r="H147" i="3"/>
  <c r="H56" i="3"/>
  <c r="H43" i="3"/>
  <c r="H30" i="3"/>
  <c r="H16" i="3"/>
  <c r="I14" i="6" l="1"/>
  <c r="T21" i="3"/>
  <c r="K21" i="3"/>
  <c r="G75" i="6"/>
  <c r="E76" i="6"/>
  <c r="H26" i="6"/>
  <c r="H86" i="6"/>
  <c r="G39" i="6"/>
  <c r="H39" i="6" s="1"/>
  <c r="E40" i="6"/>
  <c r="H50" i="6"/>
  <c r="G27" i="6"/>
  <c r="H27" i="6" s="1"/>
  <c r="E28" i="6"/>
  <c r="G63" i="6"/>
  <c r="E64" i="6"/>
  <c r="G15" i="6"/>
  <c r="E16" i="6"/>
  <c r="H38" i="6"/>
  <c r="G99" i="6"/>
  <c r="E100" i="6"/>
  <c r="E112" i="6"/>
  <c r="S21" i="3"/>
  <c r="G51" i="6"/>
  <c r="H51" i="6" s="1"/>
  <c r="E52" i="6"/>
  <c r="G87" i="6"/>
  <c r="H87" i="6" s="1"/>
  <c r="E88" i="6"/>
  <c r="F48" i="8"/>
  <c r="G48" i="7"/>
  <c r="E49" i="8"/>
  <c r="H11" i="8"/>
  <c r="I11" i="7"/>
  <c r="J11" i="7" s="1"/>
  <c r="H11" i="7"/>
  <c r="H12" i="8" s="1"/>
  <c r="G12" i="8"/>
  <c r="F12" i="8" s="1"/>
  <c r="G12" i="7"/>
  <c r="E13" i="8"/>
  <c r="H35" i="7"/>
  <c r="H36" i="8" s="1"/>
  <c r="G36" i="8"/>
  <c r="G24" i="7"/>
  <c r="E25" i="8"/>
  <c r="F23" i="8"/>
  <c r="U20" i="3"/>
  <c r="T33" i="3"/>
  <c r="G10" i="3"/>
  <c r="I58" i="3"/>
  <c r="K58" i="3" s="1"/>
  <c r="F35" i="3"/>
  <c r="I35" i="3" s="1"/>
  <c r="E37" i="7"/>
  <c r="F23" i="3"/>
  <c r="I23" i="3" s="1"/>
  <c r="E25" i="7"/>
  <c r="H47" i="7"/>
  <c r="H48" i="8" s="1"/>
  <c r="I46" i="3"/>
  <c r="F47" i="3"/>
  <c r="E49" i="7"/>
  <c r="S33" i="3"/>
  <c r="K33" i="3"/>
  <c r="G60" i="7"/>
  <c r="G61" i="8" s="1"/>
  <c r="O33" i="3"/>
  <c r="Q33" i="3"/>
  <c r="F59" i="3"/>
  <c r="E61" i="7"/>
  <c r="F71" i="3"/>
  <c r="I71" i="3" s="1"/>
  <c r="E73" i="7"/>
  <c r="E74" i="8" s="1"/>
  <c r="F11" i="3"/>
  <c r="E13" i="7"/>
  <c r="E14" i="8" s="1"/>
  <c r="N33" i="3"/>
  <c r="G36" i="7"/>
  <c r="G37" i="8" s="1"/>
  <c r="F37" i="8" s="1"/>
  <c r="H23" i="7"/>
  <c r="H24" i="8" s="1"/>
  <c r="K34" i="3"/>
  <c r="R34" i="3"/>
  <c r="N34" i="3"/>
  <c r="Q34" i="3"/>
  <c r="T34" i="3"/>
  <c r="P34" i="3"/>
  <c r="O34" i="3"/>
  <c r="S34" i="3"/>
  <c r="U9" i="3"/>
  <c r="K10" i="3"/>
  <c r="T10" i="3"/>
  <c r="P10" i="3"/>
  <c r="S10" i="3"/>
  <c r="O10" i="3"/>
  <c r="R10" i="3"/>
  <c r="N10" i="3"/>
  <c r="Q10" i="3"/>
  <c r="P58" i="3"/>
  <c r="U21" i="3"/>
  <c r="K46" i="3"/>
  <c r="Q46" i="3"/>
  <c r="T46" i="3"/>
  <c r="P46" i="3"/>
  <c r="S46" i="3"/>
  <c r="O46" i="3"/>
  <c r="R46" i="3"/>
  <c r="N46" i="3"/>
  <c r="K22" i="3"/>
  <c r="S22" i="3"/>
  <c r="O22" i="3"/>
  <c r="R22" i="3"/>
  <c r="N22" i="3"/>
  <c r="Q22" i="3"/>
  <c r="T22" i="3"/>
  <c r="P22" i="3"/>
  <c r="U45" i="3"/>
  <c r="E36" i="3"/>
  <c r="B37" i="3"/>
  <c r="C36" i="3"/>
  <c r="D36" i="3" s="1"/>
  <c r="E24" i="3"/>
  <c r="C24" i="3"/>
  <c r="D24" i="3" s="1"/>
  <c r="B25" i="3"/>
  <c r="D30" i="2"/>
  <c r="C30" i="2" s="1"/>
  <c r="B30" i="2" s="1"/>
  <c r="C29" i="2"/>
  <c r="B29" i="2" s="1"/>
  <c r="E60" i="3"/>
  <c r="B61" i="3"/>
  <c r="C60" i="3"/>
  <c r="D60" i="3" s="1"/>
  <c r="E72" i="3"/>
  <c r="C72" i="3"/>
  <c r="D72" i="3" s="1"/>
  <c r="B73" i="3"/>
  <c r="C12" i="3"/>
  <c r="D12" i="3" s="1"/>
  <c r="B13" i="3"/>
  <c r="E12" i="3"/>
  <c r="G59" i="3"/>
  <c r="I59" i="3"/>
  <c r="I11" i="3"/>
  <c r="G11" i="3"/>
  <c r="G35" i="3"/>
  <c r="G23" i="3"/>
  <c r="E48" i="3"/>
  <c r="C48" i="3"/>
  <c r="D48" i="3" s="1"/>
  <c r="B49" i="3"/>
  <c r="E84" i="3"/>
  <c r="C84" i="3"/>
  <c r="D84" i="3" s="1"/>
  <c r="B85" i="3"/>
  <c r="B97" i="3"/>
  <c r="G47" i="3"/>
  <c r="I47" i="3"/>
  <c r="H17" i="3"/>
  <c r="G64" i="6" l="1"/>
  <c r="H64" i="6" s="1"/>
  <c r="E65" i="6"/>
  <c r="Q58" i="3"/>
  <c r="G88" i="6"/>
  <c r="E89" i="6"/>
  <c r="G52" i="6"/>
  <c r="E53" i="6"/>
  <c r="G112" i="6"/>
  <c r="E125" i="6"/>
  <c r="E113" i="6"/>
  <c r="H63" i="6"/>
  <c r="G76" i="6"/>
  <c r="H76" i="6" s="1"/>
  <c r="E77" i="6"/>
  <c r="N58" i="3"/>
  <c r="G100" i="6"/>
  <c r="H100" i="6" s="1"/>
  <c r="E101" i="6"/>
  <c r="G16" i="6"/>
  <c r="H16" i="6" s="1"/>
  <c r="E17" i="6"/>
  <c r="G28" i="6"/>
  <c r="H28" i="6" s="1"/>
  <c r="E29" i="6"/>
  <c r="G40" i="6"/>
  <c r="E41" i="6"/>
  <c r="H75" i="6"/>
  <c r="J14" i="6"/>
  <c r="N14" i="6"/>
  <c r="S58" i="3"/>
  <c r="H99" i="6"/>
  <c r="H15" i="6"/>
  <c r="I40" i="6"/>
  <c r="J40" i="6" s="1"/>
  <c r="I27" i="6"/>
  <c r="J27" i="6" s="1"/>
  <c r="G37" i="7"/>
  <c r="E38" i="8"/>
  <c r="G49" i="7"/>
  <c r="E50" i="8"/>
  <c r="G25" i="7"/>
  <c r="E26" i="8"/>
  <c r="H24" i="7"/>
  <c r="H25" i="8" s="1"/>
  <c r="G25" i="8"/>
  <c r="H12" i="7"/>
  <c r="H13" i="8" s="1"/>
  <c r="G13" i="8"/>
  <c r="H48" i="7"/>
  <c r="H49" i="8" s="1"/>
  <c r="G49" i="8"/>
  <c r="G61" i="7"/>
  <c r="E62" i="8"/>
  <c r="F61" i="8"/>
  <c r="F36" i="8"/>
  <c r="I12" i="8"/>
  <c r="R58" i="3"/>
  <c r="T58" i="3"/>
  <c r="U33" i="3"/>
  <c r="O58" i="3"/>
  <c r="U58" i="3" s="1"/>
  <c r="F24" i="3"/>
  <c r="E26" i="7"/>
  <c r="E27" i="8" s="1"/>
  <c r="F36" i="3"/>
  <c r="G36" i="3" s="1"/>
  <c r="E38" i="7"/>
  <c r="F48" i="3"/>
  <c r="I48" i="3" s="1"/>
  <c r="E50" i="7"/>
  <c r="G71" i="3"/>
  <c r="H60" i="7"/>
  <c r="H61" i="8" s="1"/>
  <c r="F72" i="3"/>
  <c r="G72" i="3" s="1"/>
  <c r="E74" i="7"/>
  <c r="I24" i="7"/>
  <c r="J24" i="7" s="1"/>
  <c r="G13" i="7"/>
  <c r="G14" i="8" s="1"/>
  <c r="F14" i="8" s="1"/>
  <c r="F84" i="3"/>
  <c r="E86" i="7"/>
  <c r="E87" i="8" s="1"/>
  <c r="F12" i="3"/>
  <c r="E14" i="7"/>
  <c r="F60" i="3"/>
  <c r="E62" i="7"/>
  <c r="H36" i="7"/>
  <c r="H37" i="8" s="1"/>
  <c r="G73" i="7"/>
  <c r="G74" i="8" s="1"/>
  <c r="K11" i="3"/>
  <c r="Q11" i="3"/>
  <c r="T11" i="3"/>
  <c r="P11" i="3"/>
  <c r="S11" i="3"/>
  <c r="O11" i="3"/>
  <c r="R11" i="3"/>
  <c r="N11" i="3"/>
  <c r="K35" i="3"/>
  <c r="S35" i="3"/>
  <c r="O35" i="3"/>
  <c r="R35" i="3"/>
  <c r="N35" i="3"/>
  <c r="Q35" i="3"/>
  <c r="T35" i="3"/>
  <c r="P35" i="3"/>
  <c r="K59" i="3"/>
  <c r="Q59" i="3"/>
  <c r="T59" i="3"/>
  <c r="P59" i="3"/>
  <c r="S59" i="3"/>
  <c r="O59" i="3"/>
  <c r="N59" i="3"/>
  <c r="R59" i="3"/>
  <c r="K71" i="3"/>
  <c r="T71" i="3"/>
  <c r="P71" i="3"/>
  <c r="S71" i="3"/>
  <c r="O71" i="3"/>
  <c r="R71" i="3"/>
  <c r="N71" i="3"/>
  <c r="Q71" i="3"/>
  <c r="U22" i="3"/>
  <c r="U34" i="3"/>
  <c r="U46" i="3"/>
  <c r="U10" i="3"/>
  <c r="K47" i="3"/>
  <c r="R47" i="3"/>
  <c r="N47" i="3"/>
  <c r="Q47" i="3"/>
  <c r="T47" i="3"/>
  <c r="P47" i="3"/>
  <c r="S47" i="3"/>
  <c r="O47" i="3"/>
  <c r="K23" i="3"/>
  <c r="T23" i="3"/>
  <c r="P23" i="3"/>
  <c r="S23" i="3"/>
  <c r="O23" i="3"/>
  <c r="R23" i="3"/>
  <c r="N23" i="3"/>
  <c r="Q23" i="3"/>
  <c r="E73" i="3"/>
  <c r="C73" i="3"/>
  <c r="D73" i="3" s="1"/>
  <c r="B74" i="3"/>
  <c r="E25" i="3"/>
  <c r="B26" i="3"/>
  <c r="C25" i="3"/>
  <c r="D25" i="3" s="1"/>
  <c r="E97" i="3"/>
  <c r="B98" i="3"/>
  <c r="C97" i="3"/>
  <c r="D97" i="3" s="1"/>
  <c r="B110" i="3"/>
  <c r="E49" i="3"/>
  <c r="B50" i="3"/>
  <c r="C49" i="3"/>
  <c r="D49" i="3" s="1"/>
  <c r="C13" i="3"/>
  <c r="D13" i="3" s="1"/>
  <c r="B14" i="3"/>
  <c r="E13" i="3"/>
  <c r="I72" i="3"/>
  <c r="G24" i="3"/>
  <c r="I24" i="3"/>
  <c r="E37" i="3"/>
  <c r="B38" i="3"/>
  <c r="C37" i="3"/>
  <c r="D37" i="3" s="1"/>
  <c r="G48" i="3"/>
  <c r="E61" i="3"/>
  <c r="C61" i="3"/>
  <c r="D61" i="3" s="1"/>
  <c r="B62" i="3"/>
  <c r="G84" i="3"/>
  <c r="I84" i="3"/>
  <c r="G12" i="3"/>
  <c r="I12" i="3"/>
  <c r="G60" i="3"/>
  <c r="I60" i="3"/>
  <c r="E85" i="3"/>
  <c r="C85" i="3"/>
  <c r="D85" i="3" s="1"/>
  <c r="B86" i="3"/>
  <c r="H88" i="6" l="1"/>
  <c r="H40" i="6"/>
  <c r="I17" i="6"/>
  <c r="G113" i="6"/>
  <c r="H113" i="6" s="1"/>
  <c r="E114" i="6"/>
  <c r="H52" i="6"/>
  <c r="G41" i="6"/>
  <c r="H41" i="6" s="1"/>
  <c r="E42" i="6"/>
  <c r="G17" i="6"/>
  <c r="H17" i="6" s="1"/>
  <c r="E18" i="6"/>
  <c r="G53" i="6"/>
  <c r="H53" i="6" s="1"/>
  <c r="E54" i="6"/>
  <c r="J12" i="8"/>
  <c r="C4" i="9"/>
  <c r="N15" i="8"/>
  <c r="N15" i="6"/>
  <c r="I76" i="6"/>
  <c r="J76" i="6" s="1"/>
  <c r="G29" i="6"/>
  <c r="H29" i="6" s="1"/>
  <c r="I30" i="6" s="1"/>
  <c r="J30" i="6" s="1"/>
  <c r="E30" i="6"/>
  <c r="G101" i="6"/>
  <c r="E102" i="6"/>
  <c r="G77" i="6"/>
  <c r="E78" i="6"/>
  <c r="G125" i="6"/>
  <c r="E138" i="6"/>
  <c r="E126" i="6"/>
  <c r="G65" i="6"/>
  <c r="E66" i="6"/>
  <c r="H112" i="6"/>
  <c r="G89" i="6"/>
  <c r="H89" i="6" s="1"/>
  <c r="E90" i="6"/>
  <c r="G62" i="7"/>
  <c r="E63" i="8"/>
  <c r="F49" i="8"/>
  <c r="F25" i="8"/>
  <c r="H25" i="7"/>
  <c r="H26" i="8" s="1"/>
  <c r="G26" i="8"/>
  <c r="F26" i="8" s="1"/>
  <c r="H37" i="7"/>
  <c r="H38" i="8" s="1"/>
  <c r="G38" i="8"/>
  <c r="I25" i="8"/>
  <c r="G74" i="7"/>
  <c r="E75" i="8"/>
  <c r="G50" i="7"/>
  <c r="G51" i="8" s="1"/>
  <c r="E51" i="8"/>
  <c r="F74" i="8"/>
  <c r="G14" i="7"/>
  <c r="E15" i="8"/>
  <c r="G38" i="7"/>
  <c r="E39" i="8"/>
  <c r="H61" i="7"/>
  <c r="H62" i="8" s="1"/>
  <c r="G62" i="8"/>
  <c r="F13" i="8"/>
  <c r="H49" i="7"/>
  <c r="G50" i="8"/>
  <c r="F50" i="8" s="1"/>
  <c r="I36" i="3"/>
  <c r="T36" i="3" s="1"/>
  <c r="F13" i="3"/>
  <c r="E15" i="7"/>
  <c r="F49" i="3"/>
  <c r="G49" i="3" s="1"/>
  <c r="E51" i="7"/>
  <c r="F25" i="3"/>
  <c r="G25" i="3" s="1"/>
  <c r="E27" i="7"/>
  <c r="F85" i="3"/>
  <c r="G85" i="3" s="1"/>
  <c r="E87" i="7"/>
  <c r="F97" i="3"/>
  <c r="G97" i="3" s="1"/>
  <c r="E99" i="7"/>
  <c r="E100" i="8" s="1"/>
  <c r="I37" i="7"/>
  <c r="J37" i="7" s="1"/>
  <c r="F61" i="3"/>
  <c r="I61" i="3" s="1"/>
  <c r="E63" i="7"/>
  <c r="G86" i="7"/>
  <c r="G87" i="8" s="1"/>
  <c r="F87" i="8" s="1"/>
  <c r="H13" i="7"/>
  <c r="H14" i="8" s="1"/>
  <c r="G26" i="7"/>
  <c r="G27" i="8" s="1"/>
  <c r="F27" i="8" s="1"/>
  <c r="F37" i="3"/>
  <c r="E39" i="7"/>
  <c r="F73" i="3"/>
  <c r="G73" i="3" s="1"/>
  <c r="E75" i="7"/>
  <c r="H73" i="7"/>
  <c r="H74" i="8" s="1"/>
  <c r="U35" i="3"/>
  <c r="K72" i="3"/>
  <c r="R72" i="3"/>
  <c r="Q72" i="3"/>
  <c r="T72" i="3"/>
  <c r="S72" i="3"/>
  <c r="P72" i="3"/>
  <c r="O72" i="3"/>
  <c r="N72" i="3"/>
  <c r="K48" i="3"/>
  <c r="S48" i="3"/>
  <c r="O48" i="3"/>
  <c r="R48" i="3"/>
  <c r="N48" i="3"/>
  <c r="Q48" i="3"/>
  <c r="T48" i="3"/>
  <c r="P48" i="3"/>
  <c r="K84" i="3"/>
  <c r="Q84" i="3"/>
  <c r="T84" i="3"/>
  <c r="P84" i="3"/>
  <c r="S84" i="3"/>
  <c r="O84" i="3"/>
  <c r="R84" i="3"/>
  <c r="N84" i="3"/>
  <c r="K24" i="3"/>
  <c r="Q24" i="3"/>
  <c r="T24" i="3"/>
  <c r="P24" i="3"/>
  <c r="S24" i="3"/>
  <c r="O24" i="3"/>
  <c r="N24" i="3"/>
  <c r="R24" i="3"/>
  <c r="U23" i="3"/>
  <c r="U47" i="3"/>
  <c r="U71" i="3"/>
  <c r="U59" i="3"/>
  <c r="K60" i="3"/>
  <c r="R60" i="3"/>
  <c r="N60" i="3"/>
  <c r="Q60" i="3"/>
  <c r="T60" i="3"/>
  <c r="P60" i="3"/>
  <c r="S60" i="3"/>
  <c r="O60" i="3"/>
  <c r="K12" i="3"/>
  <c r="R12" i="3"/>
  <c r="N12" i="3"/>
  <c r="Q12" i="3"/>
  <c r="T12" i="3"/>
  <c r="P12" i="3"/>
  <c r="O12" i="3"/>
  <c r="S12" i="3"/>
  <c r="K36" i="3"/>
  <c r="O36" i="3"/>
  <c r="U11" i="3"/>
  <c r="E38" i="3"/>
  <c r="C38" i="3"/>
  <c r="D38" i="3" s="1"/>
  <c r="B39" i="3"/>
  <c r="E86" i="3"/>
  <c r="B87" i="3"/>
  <c r="C86" i="3"/>
  <c r="D86" i="3" s="1"/>
  <c r="G37" i="3"/>
  <c r="I37" i="3"/>
  <c r="B15" i="3"/>
  <c r="C14" i="3"/>
  <c r="E14" i="3"/>
  <c r="E16" i="7" s="1"/>
  <c r="I97" i="3"/>
  <c r="E110" i="3"/>
  <c r="C110" i="3"/>
  <c r="D110" i="3" s="1"/>
  <c r="B123" i="3"/>
  <c r="B111" i="3"/>
  <c r="E74" i="3"/>
  <c r="B75" i="3"/>
  <c r="C74" i="3"/>
  <c r="D74" i="3" s="1"/>
  <c r="E62" i="3"/>
  <c r="B63" i="3"/>
  <c r="C62" i="3"/>
  <c r="D62" i="3" s="1"/>
  <c r="I13" i="3"/>
  <c r="G13" i="3"/>
  <c r="E50" i="3"/>
  <c r="C50" i="3"/>
  <c r="D50" i="3" s="1"/>
  <c r="B51" i="3"/>
  <c r="E98" i="3"/>
  <c r="C98" i="3"/>
  <c r="D98" i="3" s="1"/>
  <c r="B99" i="3"/>
  <c r="E26" i="3"/>
  <c r="C26" i="3"/>
  <c r="D26" i="3" s="1"/>
  <c r="B27" i="3"/>
  <c r="H50" i="7" l="1"/>
  <c r="H51" i="8" s="1"/>
  <c r="G78" i="6"/>
  <c r="H78" i="6" s="1"/>
  <c r="I79" i="6" s="1"/>
  <c r="J79" i="6" s="1"/>
  <c r="E79" i="6"/>
  <c r="I49" i="3"/>
  <c r="Q36" i="3"/>
  <c r="S36" i="3"/>
  <c r="G90" i="6"/>
  <c r="E91" i="6"/>
  <c r="G126" i="6"/>
  <c r="H126" i="6" s="1"/>
  <c r="E127" i="6"/>
  <c r="H77" i="6"/>
  <c r="G30" i="6"/>
  <c r="H30" i="6" s="1"/>
  <c r="E31" i="6"/>
  <c r="N16" i="6"/>
  <c r="N16" i="8"/>
  <c r="J17" i="6"/>
  <c r="I20" i="6"/>
  <c r="I89" i="6"/>
  <c r="J89" i="6" s="1"/>
  <c r="H101" i="6"/>
  <c r="I73" i="3"/>
  <c r="N36" i="3"/>
  <c r="P36" i="3"/>
  <c r="J25" i="8"/>
  <c r="C8" i="9"/>
  <c r="G66" i="6"/>
  <c r="H66" i="6" s="1"/>
  <c r="E67" i="6"/>
  <c r="G138" i="6"/>
  <c r="E151" i="6"/>
  <c r="E139" i="6"/>
  <c r="G54" i="6"/>
  <c r="H54" i="6" s="1"/>
  <c r="E55" i="6"/>
  <c r="G42" i="6"/>
  <c r="H42" i="6" s="1"/>
  <c r="I43" i="6" s="1"/>
  <c r="J43" i="6" s="1"/>
  <c r="E43" i="6"/>
  <c r="I53" i="6"/>
  <c r="J53" i="6" s="1"/>
  <c r="G18" i="6"/>
  <c r="H18" i="6" s="1"/>
  <c r="E19" i="6"/>
  <c r="I85" i="3"/>
  <c r="R36" i="3"/>
  <c r="H65" i="6"/>
  <c r="H125" i="6"/>
  <c r="G102" i="6"/>
  <c r="H102" i="6" s="1"/>
  <c r="E103" i="6"/>
  <c r="G114" i="6"/>
  <c r="H114" i="6" s="1"/>
  <c r="I115" i="6" s="1"/>
  <c r="J115" i="6" s="1"/>
  <c r="E115" i="6"/>
  <c r="F51" i="8"/>
  <c r="G63" i="7"/>
  <c r="G64" i="8" s="1"/>
  <c r="E64" i="8"/>
  <c r="H14" i="7"/>
  <c r="H15" i="8" s="1"/>
  <c r="G15" i="8"/>
  <c r="H62" i="7"/>
  <c r="G63" i="8"/>
  <c r="F63" i="8" s="1"/>
  <c r="G75" i="7"/>
  <c r="E76" i="8"/>
  <c r="G87" i="7"/>
  <c r="E88" i="8"/>
  <c r="G15" i="7"/>
  <c r="E16" i="8"/>
  <c r="F62" i="8"/>
  <c r="I38" i="8"/>
  <c r="G51" i="7"/>
  <c r="E52" i="8"/>
  <c r="H50" i="8"/>
  <c r="I50" i="7"/>
  <c r="J50" i="7" s="1"/>
  <c r="H74" i="7"/>
  <c r="H75" i="8" s="1"/>
  <c r="G75" i="8"/>
  <c r="G16" i="7"/>
  <c r="E17" i="8"/>
  <c r="H38" i="7"/>
  <c r="H39" i="8" s="1"/>
  <c r="G39" i="8"/>
  <c r="F39" i="8" s="1"/>
  <c r="G39" i="7"/>
  <c r="G40" i="8" s="1"/>
  <c r="E40" i="8"/>
  <c r="G27" i="7"/>
  <c r="E28" i="8"/>
  <c r="F38" i="8"/>
  <c r="G61" i="3"/>
  <c r="F26" i="3"/>
  <c r="E28" i="7"/>
  <c r="E29" i="8" s="1"/>
  <c r="H63" i="7"/>
  <c r="H64" i="8" s="1"/>
  <c r="F38" i="3"/>
  <c r="E40" i="7"/>
  <c r="F50" i="3"/>
  <c r="G50" i="3" s="1"/>
  <c r="E52" i="7"/>
  <c r="F74" i="3"/>
  <c r="E76" i="7"/>
  <c r="F110" i="3"/>
  <c r="G110" i="3" s="1"/>
  <c r="E112" i="7"/>
  <c r="E113" i="8" s="1"/>
  <c r="F86" i="3"/>
  <c r="E88" i="7"/>
  <c r="E89" i="8" s="1"/>
  <c r="I25" i="3"/>
  <c r="N25" i="3" s="1"/>
  <c r="H39" i="7"/>
  <c r="H40" i="8" s="1"/>
  <c r="H86" i="7"/>
  <c r="H87" i="8" s="1"/>
  <c r="I14" i="7"/>
  <c r="J14" i="7" s="1"/>
  <c r="G99" i="7"/>
  <c r="G100" i="8" s="1"/>
  <c r="H26" i="7"/>
  <c r="H27" i="8" s="1"/>
  <c r="F98" i="3"/>
  <c r="E100" i="7"/>
  <c r="F62" i="3"/>
  <c r="G62" i="3" s="1"/>
  <c r="E64" i="7"/>
  <c r="E65" i="8" s="1"/>
  <c r="K37" i="3"/>
  <c r="Q37" i="3"/>
  <c r="T37" i="3"/>
  <c r="P37" i="3"/>
  <c r="S37" i="3"/>
  <c r="O37" i="3"/>
  <c r="R37" i="3"/>
  <c r="N37" i="3"/>
  <c r="K61" i="3"/>
  <c r="S61" i="3"/>
  <c r="O61" i="3"/>
  <c r="R61" i="3"/>
  <c r="N61" i="3"/>
  <c r="Q61" i="3"/>
  <c r="P61" i="3"/>
  <c r="T61" i="3"/>
  <c r="U48" i="3"/>
  <c r="K13" i="3"/>
  <c r="S13" i="3"/>
  <c r="O13" i="3"/>
  <c r="R13" i="3"/>
  <c r="N13" i="3"/>
  <c r="Q13" i="3"/>
  <c r="T13" i="3"/>
  <c r="P13" i="3"/>
  <c r="K49" i="3"/>
  <c r="T49" i="3"/>
  <c r="P49" i="3"/>
  <c r="S49" i="3"/>
  <c r="O49" i="3"/>
  <c r="R49" i="3"/>
  <c r="N49" i="3"/>
  <c r="Q49" i="3"/>
  <c r="K85" i="3"/>
  <c r="R85" i="3"/>
  <c r="N85" i="3"/>
  <c r="Q85" i="3"/>
  <c r="T85" i="3"/>
  <c r="P85" i="3"/>
  <c r="O85" i="3"/>
  <c r="S85" i="3"/>
  <c r="K73" i="3"/>
  <c r="S73" i="3"/>
  <c r="O73" i="3"/>
  <c r="R73" i="3"/>
  <c r="N73" i="3"/>
  <c r="Q73" i="3"/>
  <c r="T73" i="3"/>
  <c r="P73" i="3"/>
  <c r="K97" i="3"/>
  <c r="Q97" i="3"/>
  <c r="T97" i="3"/>
  <c r="P97" i="3"/>
  <c r="S97" i="3"/>
  <c r="O97" i="3"/>
  <c r="R97" i="3"/>
  <c r="N97" i="3"/>
  <c r="U36" i="3"/>
  <c r="U12" i="3"/>
  <c r="U60" i="3"/>
  <c r="U24" i="3"/>
  <c r="U84" i="3"/>
  <c r="U72" i="3"/>
  <c r="D14" i="3"/>
  <c r="G26" i="3"/>
  <c r="I26" i="3"/>
  <c r="E51" i="3"/>
  <c r="B52" i="3"/>
  <c r="C51" i="3"/>
  <c r="D51" i="3" s="1"/>
  <c r="G38" i="3"/>
  <c r="I38" i="3"/>
  <c r="E99" i="3"/>
  <c r="B100" i="3"/>
  <c r="C99" i="3"/>
  <c r="D99" i="3" s="1"/>
  <c r="E111" i="3"/>
  <c r="B112" i="3"/>
  <c r="C111" i="3"/>
  <c r="D111" i="3" s="1"/>
  <c r="G86" i="3"/>
  <c r="I86" i="3"/>
  <c r="G98" i="3"/>
  <c r="I98" i="3"/>
  <c r="E75" i="3"/>
  <c r="B76" i="3"/>
  <c r="C75" i="3"/>
  <c r="D75" i="3" s="1"/>
  <c r="G74" i="3"/>
  <c r="I74" i="3"/>
  <c r="B16" i="3"/>
  <c r="C15" i="3"/>
  <c r="D15" i="3" s="1"/>
  <c r="E15" i="3"/>
  <c r="E87" i="3"/>
  <c r="B88" i="3"/>
  <c r="C87" i="3"/>
  <c r="D87" i="3" s="1"/>
  <c r="E27" i="3"/>
  <c r="C27" i="3"/>
  <c r="D27" i="3" s="1"/>
  <c r="B28" i="3"/>
  <c r="E63" i="3"/>
  <c r="B64" i="3"/>
  <c r="C63" i="3"/>
  <c r="D63" i="3" s="1"/>
  <c r="E123" i="3"/>
  <c r="B136" i="3"/>
  <c r="C123" i="3"/>
  <c r="D123" i="3" s="1"/>
  <c r="B124" i="3"/>
  <c r="F14" i="3"/>
  <c r="E39" i="3"/>
  <c r="E41" i="7" s="1"/>
  <c r="B40" i="3"/>
  <c r="C39" i="3"/>
  <c r="G115" i="6" l="1"/>
  <c r="E116" i="6"/>
  <c r="G67" i="6"/>
  <c r="H67" i="6" s="1"/>
  <c r="E68" i="6"/>
  <c r="I102" i="6"/>
  <c r="J102" i="6" s="1"/>
  <c r="G127" i="6"/>
  <c r="E128" i="6"/>
  <c r="J38" i="8"/>
  <c r="C12" i="9"/>
  <c r="G139" i="6"/>
  <c r="H139" i="6" s="1"/>
  <c r="E140" i="6"/>
  <c r="G79" i="6"/>
  <c r="E80" i="6"/>
  <c r="P25" i="3"/>
  <c r="G103" i="6"/>
  <c r="H103" i="6" s="1"/>
  <c r="E104" i="6"/>
  <c r="G55" i="6"/>
  <c r="H55" i="6" s="1"/>
  <c r="I56" i="6" s="1"/>
  <c r="J56" i="6" s="1"/>
  <c r="E56" i="6"/>
  <c r="G151" i="6"/>
  <c r="E152" i="6"/>
  <c r="E164" i="6"/>
  <c r="G91" i="6"/>
  <c r="H91" i="6" s="1"/>
  <c r="E92" i="6"/>
  <c r="G43" i="6"/>
  <c r="H43" i="6" s="1"/>
  <c r="E44" i="6"/>
  <c r="G31" i="6"/>
  <c r="H31" i="6" s="1"/>
  <c r="E32" i="6"/>
  <c r="T25" i="3"/>
  <c r="I66" i="6"/>
  <c r="J66" i="6" s="1"/>
  <c r="G19" i="6"/>
  <c r="E20" i="6"/>
  <c r="H138" i="6"/>
  <c r="N17" i="8"/>
  <c r="N17" i="6"/>
  <c r="H90" i="6"/>
  <c r="H16" i="7"/>
  <c r="G17" i="8"/>
  <c r="F17" i="8" s="1"/>
  <c r="G52" i="7"/>
  <c r="E53" i="8"/>
  <c r="F64" i="8"/>
  <c r="F100" i="8"/>
  <c r="F40" i="8"/>
  <c r="H51" i="7"/>
  <c r="H52" i="8" s="1"/>
  <c r="G52" i="8"/>
  <c r="F15" i="8"/>
  <c r="F75" i="8"/>
  <c r="H87" i="7"/>
  <c r="H88" i="8" s="1"/>
  <c r="G88" i="8"/>
  <c r="F88" i="8" s="1"/>
  <c r="H63" i="8"/>
  <c r="I63" i="7"/>
  <c r="J63" i="7" s="1"/>
  <c r="G41" i="7"/>
  <c r="E42" i="8"/>
  <c r="G100" i="7"/>
  <c r="E101" i="8"/>
  <c r="I15" i="8"/>
  <c r="G76" i="7"/>
  <c r="E77" i="8"/>
  <c r="G40" i="7"/>
  <c r="E41" i="8"/>
  <c r="H27" i="7"/>
  <c r="H28" i="8" s="1"/>
  <c r="G28" i="8"/>
  <c r="I51" i="8"/>
  <c r="H15" i="7"/>
  <c r="H16" i="8" s="1"/>
  <c r="G16" i="8"/>
  <c r="F16" i="8" s="1"/>
  <c r="H75" i="7"/>
  <c r="G76" i="8"/>
  <c r="F76" i="8" s="1"/>
  <c r="I110" i="3"/>
  <c r="R25" i="3"/>
  <c r="I50" i="3"/>
  <c r="K50" i="3" s="1"/>
  <c r="K25" i="3"/>
  <c r="F63" i="3"/>
  <c r="E65" i="7"/>
  <c r="F75" i="3"/>
  <c r="G75" i="3" s="1"/>
  <c r="E77" i="7"/>
  <c r="E78" i="8" s="1"/>
  <c r="I27" i="7"/>
  <c r="J27" i="7" s="1"/>
  <c r="F87" i="3"/>
  <c r="E89" i="7"/>
  <c r="F27" i="3"/>
  <c r="G27" i="3" s="1"/>
  <c r="E29" i="7"/>
  <c r="F15" i="3"/>
  <c r="E17" i="7"/>
  <c r="F51" i="3"/>
  <c r="I51" i="3" s="1"/>
  <c r="E53" i="7"/>
  <c r="I62" i="3"/>
  <c r="F99" i="3"/>
  <c r="I99" i="3" s="1"/>
  <c r="E101" i="7"/>
  <c r="O25" i="3"/>
  <c r="Q25" i="3"/>
  <c r="G88" i="7"/>
  <c r="G89" i="8" s="1"/>
  <c r="F89" i="8" s="1"/>
  <c r="G28" i="7"/>
  <c r="G29" i="8" s="1"/>
  <c r="F29" i="8" s="1"/>
  <c r="G112" i="7"/>
  <c r="G113" i="8" s="1"/>
  <c r="F123" i="3"/>
  <c r="G123" i="3" s="1"/>
  <c r="E125" i="7"/>
  <c r="E126" i="8" s="1"/>
  <c r="F111" i="3"/>
  <c r="G111" i="3" s="1"/>
  <c r="E113" i="7"/>
  <c r="S25" i="3"/>
  <c r="U25" i="3" s="1"/>
  <c r="G64" i="7"/>
  <c r="G65" i="8" s="1"/>
  <c r="H99" i="7"/>
  <c r="H100" i="8" s="1"/>
  <c r="I40" i="7"/>
  <c r="J40" i="7" s="1"/>
  <c r="U13" i="3"/>
  <c r="K86" i="3"/>
  <c r="S86" i="3"/>
  <c r="O86" i="3"/>
  <c r="R86" i="3"/>
  <c r="N86" i="3"/>
  <c r="Q86" i="3"/>
  <c r="T86" i="3"/>
  <c r="P86" i="3"/>
  <c r="K74" i="3"/>
  <c r="T74" i="3"/>
  <c r="P74" i="3"/>
  <c r="S74" i="3"/>
  <c r="O74" i="3"/>
  <c r="R74" i="3"/>
  <c r="N74" i="3"/>
  <c r="Q74" i="3"/>
  <c r="U37" i="3"/>
  <c r="K98" i="3"/>
  <c r="R98" i="3"/>
  <c r="N98" i="3"/>
  <c r="Q98" i="3"/>
  <c r="T98" i="3"/>
  <c r="P98" i="3"/>
  <c r="S98" i="3"/>
  <c r="O98" i="3"/>
  <c r="K110" i="3"/>
  <c r="Q110" i="3"/>
  <c r="T110" i="3"/>
  <c r="P110" i="3"/>
  <c r="S110" i="3"/>
  <c r="O110" i="3"/>
  <c r="N110" i="3"/>
  <c r="R110" i="3"/>
  <c r="K62" i="3"/>
  <c r="T62" i="3"/>
  <c r="P62" i="3"/>
  <c r="S62" i="3"/>
  <c r="O62" i="3"/>
  <c r="R62" i="3"/>
  <c r="N62" i="3"/>
  <c r="Q62" i="3"/>
  <c r="U73" i="3"/>
  <c r="U85" i="3"/>
  <c r="U49" i="3"/>
  <c r="K38" i="3"/>
  <c r="R38" i="3"/>
  <c r="N38" i="3"/>
  <c r="Q38" i="3"/>
  <c r="T38" i="3"/>
  <c r="P38" i="3"/>
  <c r="S38" i="3"/>
  <c r="O38" i="3"/>
  <c r="T50" i="3"/>
  <c r="P50" i="3"/>
  <c r="R50" i="3"/>
  <c r="N50" i="3"/>
  <c r="S26" i="3"/>
  <c r="O26" i="3"/>
  <c r="R26" i="3"/>
  <c r="N26" i="3"/>
  <c r="Q26" i="3"/>
  <c r="P26" i="3"/>
  <c r="T26" i="3"/>
  <c r="U97" i="3"/>
  <c r="U61" i="3"/>
  <c r="D39" i="3"/>
  <c r="I123" i="3"/>
  <c r="E40" i="3"/>
  <c r="B41" i="3"/>
  <c r="C40" i="3"/>
  <c r="D40" i="3" s="1"/>
  <c r="E124" i="3"/>
  <c r="C124" i="3"/>
  <c r="D124" i="3" s="1"/>
  <c r="B125" i="3"/>
  <c r="I15" i="3"/>
  <c r="G15" i="3"/>
  <c r="F39" i="3"/>
  <c r="E64" i="3"/>
  <c r="B65" i="3"/>
  <c r="C64" i="3"/>
  <c r="D64" i="3" s="1"/>
  <c r="E112" i="3"/>
  <c r="B113" i="3"/>
  <c r="C112" i="3"/>
  <c r="D112" i="3" s="1"/>
  <c r="E100" i="3"/>
  <c r="B101" i="3"/>
  <c r="C100" i="3"/>
  <c r="D100" i="3" s="1"/>
  <c r="E52" i="3"/>
  <c r="C52" i="3"/>
  <c r="D52" i="3" s="1"/>
  <c r="B53" i="3"/>
  <c r="I14" i="3"/>
  <c r="G14" i="3"/>
  <c r="G87" i="3"/>
  <c r="I87" i="3"/>
  <c r="K26" i="3"/>
  <c r="E136" i="3"/>
  <c r="B137" i="3"/>
  <c r="C136" i="3"/>
  <c r="D136" i="3" s="1"/>
  <c r="B149" i="3"/>
  <c r="G63" i="3"/>
  <c r="I63" i="3"/>
  <c r="E28" i="3"/>
  <c r="E30" i="7" s="1"/>
  <c r="B29" i="3"/>
  <c r="C28" i="3"/>
  <c r="D28" i="3" s="1"/>
  <c r="E88" i="3"/>
  <c r="C88" i="3"/>
  <c r="D88" i="3" s="1"/>
  <c r="B89" i="3"/>
  <c r="B17" i="3"/>
  <c r="B18" i="3" s="1"/>
  <c r="C16" i="3"/>
  <c r="D16" i="3" s="1"/>
  <c r="E16" i="3"/>
  <c r="E76" i="3"/>
  <c r="B77" i="3"/>
  <c r="C76" i="3"/>
  <c r="D76" i="3" s="1"/>
  <c r="G99" i="3"/>
  <c r="G51" i="3"/>
  <c r="I92" i="6" l="1"/>
  <c r="J92" i="6" s="1"/>
  <c r="G80" i="6"/>
  <c r="H80" i="6" s="1"/>
  <c r="E81" i="6"/>
  <c r="G68" i="6"/>
  <c r="H68" i="6" s="1"/>
  <c r="I69" i="6" s="1"/>
  <c r="J69" i="6" s="1"/>
  <c r="E69" i="6"/>
  <c r="J15" i="8"/>
  <c r="C5" i="9"/>
  <c r="G104" i="6"/>
  <c r="E105" i="6"/>
  <c r="H79" i="6"/>
  <c r="H127" i="6"/>
  <c r="H19" i="6"/>
  <c r="G20" i="6"/>
  <c r="G44" i="6"/>
  <c r="H44" i="6" s="1"/>
  <c r="E45" i="6"/>
  <c r="H151" i="6"/>
  <c r="G128" i="6"/>
  <c r="H128" i="6" s="1"/>
  <c r="E129" i="6"/>
  <c r="J51" i="8"/>
  <c r="C16" i="9"/>
  <c r="N18" i="6"/>
  <c r="N18" i="8"/>
  <c r="G32" i="6"/>
  <c r="E33" i="6"/>
  <c r="G164" i="6"/>
  <c r="E165" i="6"/>
  <c r="E177" i="6"/>
  <c r="G56" i="6"/>
  <c r="H56" i="6" s="1"/>
  <c r="E57" i="6"/>
  <c r="G140" i="6"/>
  <c r="E141" i="6"/>
  <c r="G116" i="6"/>
  <c r="H116" i="6" s="1"/>
  <c r="E117" i="6"/>
  <c r="I111" i="3"/>
  <c r="G92" i="6"/>
  <c r="H92" i="6" s="1"/>
  <c r="E93" i="6"/>
  <c r="G152" i="6"/>
  <c r="H152" i="6" s="1"/>
  <c r="E153" i="6"/>
  <c r="H115" i="6"/>
  <c r="I64" i="8"/>
  <c r="G30" i="7"/>
  <c r="E31" i="8"/>
  <c r="G17" i="7"/>
  <c r="E18" i="8"/>
  <c r="H100" i="7"/>
  <c r="H101" i="8" s="1"/>
  <c r="G101" i="8"/>
  <c r="I17" i="7"/>
  <c r="J17" i="7" s="1"/>
  <c r="H17" i="8"/>
  <c r="I41" i="8"/>
  <c r="G113" i="7"/>
  <c r="E114" i="8"/>
  <c r="F113" i="8"/>
  <c r="G65" i="7"/>
  <c r="E66" i="8"/>
  <c r="I76" i="7"/>
  <c r="J76" i="7" s="1"/>
  <c r="H76" i="8"/>
  <c r="H76" i="7"/>
  <c r="H77" i="8" s="1"/>
  <c r="G77" i="8"/>
  <c r="H52" i="7"/>
  <c r="G53" i="8"/>
  <c r="F53" i="8" s="1"/>
  <c r="F65" i="8"/>
  <c r="G101" i="7"/>
  <c r="E102" i="8"/>
  <c r="H40" i="7"/>
  <c r="H41" i="8" s="1"/>
  <c r="G41" i="8"/>
  <c r="G89" i="7"/>
  <c r="E90" i="8"/>
  <c r="F28" i="8"/>
  <c r="F52" i="8"/>
  <c r="G53" i="7"/>
  <c r="E54" i="8"/>
  <c r="G29" i="7"/>
  <c r="E30" i="8"/>
  <c r="I28" i="8"/>
  <c r="H41" i="7"/>
  <c r="H42" i="8" s="1"/>
  <c r="G42" i="8"/>
  <c r="F42" i="8" s="1"/>
  <c r="O50" i="3"/>
  <c r="I27" i="3"/>
  <c r="P27" i="3" s="1"/>
  <c r="I75" i="3"/>
  <c r="T75" i="3" s="1"/>
  <c r="Q50" i="3"/>
  <c r="S50" i="3"/>
  <c r="F76" i="3"/>
  <c r="I76" i="3" s="1"/>
  <c r="E78" i="7"/>
  <c r="F100" i="3"/>
  <c r="I100" i="3" s="1"/>
  <c r="E102" i="7"/>
  <c r="E103" i="8" s="1"/>
  <c r="G77" i="7"/>
  <c r="G78" i="8" s="1"/>
  <c r="F78" i="8" s="1"/>
  <c r="F52" i="3"/>
  <c r="E54" i="7"/>
  <c r="H28" i="7"/>
  <c r="H29" i="8" s="1"/>
  <c r="F124" i="3"/>
  <c r="G124" i="3" s="1"/>
  <c r="E126" i="7"/>
  <c r="G125" i="7"/>
  <c r="G126" i="8" s="1"/>
  <c r="H88" i="7"/>
  <c r="H89" i="8" s="1"/>
  <c r="F16" i="3"/>
  <c r="I16" i="3" s="1"/>
  <c r="E18" i="7"/>
  <c r="F88" i="3"/>
  <c r="G88" i="3" s="1"/>
  <c r="E90" i="7"/>
  <c r="F64" i="3"/>
  <c r="I64" i="3" s="1"/>
  <c r="E66" i="7"/>
  <c r="E67" i="8" s="1"/>
  <c r="F136" i="3"/>
  <c r="G136" i="3" s="1"/>
  <c r="E138" i="7"/>
  <c r="E139" i="8" s="1"/>
  <c r="F112" i="3"/>
  <c r="G112" i="3" s="1"/>
  <c r="E114" i="7"/>
  <c r="F40" i="3"/>
  <c r="G40" i="3" s="1"/>
  <c r="E42" i="7"/>
  <c r="H64" i="7"/>
  <c r="H112" i="7"/>
  <c r="H113" i="8" s="1"/>
  <c r="N20" i="7"/>
  <c r="U74" i="3"/>
  <c r="U26" i="3"/>
  <c r="K51" i="3"/>
  <c r="R51" i="3"/>
  <c r="N51" i="3"/>
  <c r="Q51" i="3"/>
  <c r="T51" i="3"/>
  <c r="P51" i="3"/>
  <c r="O51" i="3"/>
  <c r="S51" i="3"/>
  <c r="K111" i="3"/>
  <c r="R111" i="3"/>
  <c r="N111" i="3"/>
  <c r="Q111" i="3"/>
  <c r="T111" i="3"/>
  <c r="P111" i="3"/>
  <c r="S111" i="3"/>
  <c r="O111" i="3"/>
  <c r="O27" i="3"/>
  <c r="K75" i="3"/>
  <c r="Q75" i="3"/>
  <c r="S75" i="3"/>
  <c r="O75" i="3"/>
  <c r="K87" i="3"/>
  <c r="T87" i="3"/>
  <c r="P87" i="3"/>
  <c r="S87" i="3"/>
  <c r="O87" i="3"/>
  <c r="R87" i="3"/>
  <c r="N87" i="3"/>
  <c r="Q87" i="3"/>
  <c r="U38" i="3"/>
  <c r="U62" i="3"/>
  <c r="U110" i="3"/>
  <c r="U98" i="3"/>
  <c r="K15" i="3"/>
  <c r="Q15" i="3"/>
  <c r="T15" i="3"/>
  <c r="P15" i="3"/>
  <c r="S15" i="3"/>
  <c r="O15" i="3"/>
  <c r="R15" i="3"/>
  <c r="N15" i="3"/>
  <c r="K99" i="3"/>
  <c r="S99" i="3"/>
  <c r="O99" i="3"/>
  <c r="R99" i="3"/>
  <c r="N99" i="3"/>
  <c r="Q99" i="3"/>
  <c r="T99" i="3"/>
  <c r="P99" i="3"/>
  <c r="K63" i="3"/>
  <c r="Q63" i="3"/>
  <c r="T63" i="3"/>
  <c r="P63" i="3"/>
  <c r="S63" i="3"/>
  <c r="O63" i="3"/>
  <c r="R63" i="3"/>
  <c r="N63" i="3"/>
  <c r="T14" i="3"/>
  <c r="P14" i="3"/>
  <c r="S14" i="3"/>
  <c r="O14" i="3"/>
  <c r="R14" i="3"/>
  <c r="N14" i="3"/>
  <c r="Q14" i="3"/>
  <c r="K123" i="3"/>
  <c r="T123" i="3"/>
  <c r="P123" i="3"/>
  <c r="S123" i="3"/>
  <c r="O123" i="3"/>
  <c r="R123" i="3"/>
  <c r="N123" i="3"/>
  <c r="Q123" i="3"/>
  <c r="U86" i="3"/>
  <c r="G16" i="3"/>
  <c r="K14" i="3"/>
  <c r="E41" i="3"/>
  <c r="B42" i="3"/>
  <c r="C41" i="3"/>
  <c r="D41" i="3" s="1"/>
  <c r="E65" i="3"/>
  <c r="E67" i="7" s="1"/>
  <c r="B66" i="3"/>
  <c r="C65" i="3"/>
  <c r="D65" i="3" s="1"/>
  <c r="E77" i="3"/>
  <c r="B78" i="3"/>
  <c r="C77" i="3"/>
  <c r="D77" i="3" s="1"/>
  <c r="C17" i="3"/>
  <c r="D17" i="3" s="1"/>
  <c r="D18" i="3" s="1"/>
  <c r="E17" i="3"/>
  <c r="E113" i="3"/>
  <c r="B114" i="3"/>
  <c r="C113" i="3"/>
  <c r="D113" i="3" s="1"/>
  <c r="G64" i="3"/>
  <c r="F28" i="3"/>
  <c r="G39" i="3"/>
  <c r="I39" i="3"/>
  <c r="E137" i="3"/>
  <c r="B138" i="3"/>
  <c r="C137" i="3"/>
  <c r="D137" i="3" s="1"/>
  <c r="G52" i="3"/>
  <c r="I52" i="3"/>
  <c r="G76" i="3"/>
  <c r="E89" i="3"/>
  <c r="C89" i="3"/>
  <c r="D89" i="3" s="1"/>
  <c r="B90" i="3"/>
  <c r="E29" i="3"/>
  <c r="B30" i="3"/>
  <c r="B31" i="3" s="1"/>
  <c r="C29" i="3"/>
  <c r="E149" i="3"/>
  <c r="B162" i="3"/>
  <c r="C149" i="3"/>
  <c r="D149" i="3" s="1"/>
  <c r="B150" i="3"/>
  <c r="E18" i="3"/>
  <c r="E53" i="3"/>
  <c r="C53" i="3"/>
  <c r="D53" i="3" s="1"/>
  <c r="B54" i="3"/>
  <c r="E101" i="3"/>
  <c r="B102" i="3"/>
  <c r="C101" i="3"/>
  <c r="D101" i="3" s="1"/>
  <c r="E125" i="3"/>
  <c r="C125" i="3"/>
  <c r="D125" i="3" s="1"/>
  <c r="B126" i="3"/>
  <c r="G117" i="6" l="1"/>
  <c r="E118" i="6"/>
  <c r="G177" i="6"/>
  <c r="E178" i="6"/>
  <c r="G81" i="6"/>
  <c r="E82" i="6"/>
  <c r="I124" i="3"/>
  <c r="S27" i="3"/>
  <c r="G153" i="6"/>
  <c r="E154" i="6"/>
  <c r="G57" i="6"/>
  <c r="H57" i="6" s="1"/>
  <c r="E58" i="6"/>
  <c r="G165" i="6"/>
  <c r="H165" i="6" s="1"/>
  <c r="E166" i="6"/>
  <c r="I21" i="6"/>
  <c r="H20" i="6"/>
  <c r="J64" i="8"/>
  <c r="C20" i="9"/>
  <c r="H140" i="6"/>
  <c r="H32" i="6"/>
  <c r="G33" i="6"/>
  <c r="Q27" i="3"/>
  <c r="T27" i="3"/>
  <c r="U50" i="3"/>
  <c r="J28" i="8"/>
  <c r="C9" i="9"/>
  <c r="H164" i="6"/>
  <c r="G129" i="6"/>
  <c r="H129" i="6" s="1"/>
  <c r="E130" i="6"/>
  <c r="G45" i="6"/>
  <c r="E46" i="6"/>
  <c r="G105" i="6"/>
  <c r="H105" i="6" s="1"/>
  <c r="E106" i="6"/>
  <c r="G69" i="6"/>
  <c r="H69" i="6" s="1"/>
  <c r="E70" i="6"/>
  <c r="R27" i="3"/>
  <c r="K27" i="3"/>
  <c r="J41" i="8"/>
  <c r="C13" i="9"/>
  <c r="G93" i="6"/>
  <c r="H93" i="6" s="1"/>
  <c r="E94" i="6"/>
  <c r="G141" i="6"/>
  <c r="H141" i="6" s="1"/>
  <c r="E142" i="6"/>
  <c r="N19" i="8"/>
  <c r="N19" i="6"/>
  <c r="I128" i="6"/>
  <c r="J128" i="6" s="1"/>
  <c r="H104" i="6"/>
  <c r="I105" i="6" s="1"/>
  <c r="J105" i="6" s="1"/>
  <c r="G114" i="7"/>
  <c r="E115" i="8"/>
  <c r="G54" i="7"/>
  <c r="G55" i="8" s="1"/>
  <c r="E55" i="8"/>
  <c r="H101" i="7"/>
  <c r="G102" i="8"/>
  <c r="F102" i="8" s="1"/>
  <c r="I77" i="8"/>
  <c r="H17" i="7"/>
  <c r="H18" i="8" s="1"/>
  <c r="G18" i="8"/>
  <c r="F18" i="8" s="1"/>
  <c r="H65" i="8"/>
  <c r="G18" i="7"/>
  <c r="E19" i="8"/>
  <c r="G126" i="7"/>
  <c r="E127" i="8"/>
  <c r="G78" i="7"/>
  <c r="E79" i="8"/>
  <c r="F41" i="8"/>
  <c r="F77" i="8"/>
  <c r="G67" i="7"/>
  <c r="E68" i="8"/>
  <c r="G90" i="7"/>
  <c r="E91" i="8"/>
  <c r="H89" i="7"/>
  <c r="H90" i="8" s="1"/>
  <c r="G90" i="8"/>
  <c r="F90" i="8" s="1"/>
  <c r="I18" i="8"/>
  <c r="C6" i="9" s="1"/>
  <c r="C5" i="7"/>
  <c r="I20" i="7"/>
  <c r="L6" i="7"/>
  <c r="F126" i="8"/>
  <c r="H29" i="7"/>
  <c r="H30" i="8" s="1"/>
  <c r="G30" i="8"/>
  <c r="F30" i="8" s="1"/>
  <c r="I53" i="7"/>
  <c r="J53" i="7" s="1"/>
  <c r="H53" i="8"/>
  <c r="F101" i="8"/>
  <c r="G42" i="7"/>
  <c r="G43" i="8" s="1"/>
  <c r="E43" i="8"/>
  <c r="H53" i="7"/>
  <c r="H54" i="8" s="1"/>
  <c r="G54" i="8"/>
  <c r="F54" i="8" s="1"/>
  <c r="H65" i="7"/>
  <c r="H66" i="8" s="1"/>
  <c r="G66" i="8"/>
  <c r="H113" i="7"/>
  <c r="H114" i="8" s="1"/>
  <c r="G114" i="8"/>
  <c r="H30" i="7"/>
  <c r="H31" i="8" s="1"/>
  <c r="G31" i="8"/>
  <c r="F31" i="8" s="1"/>
  <c r="I88" i="3"/>
  <c r="G100" i="3"/>
  <c r="R75" i="3"/>
  <c r="P75" i="3"/>
  <c r="U75" i="3" s="1"/>
  <c r="I112" i="3"/>
  <c r="N75" i="3"/>
  <c r="N27" i="3"/>
  <c r="F101" i="3"/>
  <c r="I101" i="3" s="1"/>
  <c r="E103" i="7"/>
  <c r="F77" i="3"/>
  <c r="E79" i="7"/>
  <c r="E80" i="8" s="1"/>
  <c r="F41" i="3"/>
  <c r="G41" i="3" s="1"/>
  <c r="E43" i="7"/>
  <c r="F113" i="3"/>
  <c r="I113" i="3" s="1"/>
  <c r="E115" i="7"/>
  <c r="E116" i="8" s="1"/>
  <c r="I40" i="3"/>
  <c r="P40" i="3" s="1"/>
  <c r="G66" i="7"/>
  <c r="G67" i="8" s="1"/>
  <c r="F67" i="8" s="1"/>
  <c r="I89" i="7"/>
  <c r="J89" i="7" s="1"/>
  <c r="H54" i="7"/>
  <c r="H55" i="8" s="1"/>
  <c r="H77" i="7"/>
  <c r="H78" i="8" s="1"/>
  <c r="F149" i="3"/>
  <c r="I149" i="3" s="1"/>
  <c r="E151" i="7"/>
  <c r="E152" i="8" s="1"/>
  <c r="G102" i="7"/>
  <c r="G103" i="8" s="1"/>
  <c r="F103" i="8" s="1"/>
  <c r="F89" i="3"/>
  <c r="I89" i="3" s="1"/>
  <c r="E91" i="7"/>
  <c r="E92" i="8" s="1"/>
  <c r="I136" i="3"/>
  <c r="T136" i="3" s="1"/>
  <c r="F17" i="3"/>
  <c r="F18" i="3" s="1"/>
  <c r="E19" i="7"/>
  <c r="E20" i="8" s="1"/>
  <c r="F125" i="3"/>
  <c r="G125" i="3" s="1"/>
  <c r="E127" i="7"/>
  <c r="F53" i="3"/>
  <c r="E55" i="7"/>
  <c r="F29" i="3"/>
  <c r="G29" i="3" s="1"/>
  <c r="E31" i="7"/>
  <c r="F137" i="3"/>
  <c r="E139" i="7"/>
  <c r="G138" i="7"/>
  <c r="G139" i="8" s="1"/>
  <c r="H125" i="7"/>
  <c r="H126" i="8" s="1"/>
  <c r="K112" i="3"/>
  <c r="R112" i="3"/>
  <c r="Q112" i="3"/>
  <c r="T112" i="3"/>
  <c r="P112" i="3"/>
  <c r="O112" i="3"/>
  <c r="N112" i="3"/>
  <c r="S112" i="3"/>
  <c r="K124" i="3"/>
  <c r="Q124" i="3"/>
  <c r="T124" i="3"/>
  <c r="P124" i="3"/>
  <c r="S124" i="3"/>
  <c r="O124" i="3"/>
  <c r="R124" i="3"/>
  <c r="N124" i="3"/>
  <c r="K64" i="3"/>
  <c r="R64" i="3"/>
  <c r="N64" i="3"/>
  <c r="Q64" i="3"/>
  <c r="T64" i="3"/>
  <c r="P64" i="3"/>
  <c r="S64" i="3"/>
  <c r="O64" i="3"/>
  <c r="T40" i="3"/>
  <c r="R40" i="3"/>
  <c r="K100" i="3"/>
  <c r="T100" i="3"/>
  <c r="P100" i="3"/>
  <c r="S100" i="3"/>
  <c r="O100" i="3"/>
  <c r="R100" i="3"/>
  <c r="N100" i="3"/>
  <c r="Q100" i="3"/>
  <c r="K16" i="3"/>
  <c r="R16" i="3"/>
  <c r="N16" i="3"/>
  <c r="Q16" i="3"/>
  <c r="T16" i="3"/>
  <c r="P16" i="3"/>
  <c r="O16" i="3"/>
  <c r="S16" i="3"/>
  <c r="U123" i="3"/>
  <c r="U14" i="3"/>
  <c r="K88" i="3"/>
  <c r="Q88" i="3"/>
  <c r="T88" i="3"/>
  <c r="P88" i="3"/>
  <c r="S88" i="3"/>
  <c r="O88" i="3"/>
  <c r="R88" i="3"/>
  <c r="N88" i="3"/>
  <c r="S39" i="3"/>
  <c r="O39" i="3"/>
  <c r="R39" i="3"/>
  <c r="N39" i="3"/>
  <c r="Q39" i="3"/>
  <c r="P39" i="3"/>
  <c r="T39" i="3"/>
  <c r="K136" i="3"/>
  <c r="U99" i="3"/>
  <c r="K76" i="3"/>
  <c r="R76" i="3"/>
  <c r="N76" i="3"/>
  <c r="Q76" i="3"/>
  <c r="T76" i="3"/>
  <c r="P76" i="3"/>
  <c r="S76" i="3"/>
  <c r="O76" i="3"/>
  <c r="K52" i="3"/>
  <c r="S52" i="3"/>
  <c r="O52" i="3"/>
  <c r="R52" i="3"/>
  <c r="N52" i="3"/>
  <c r="Q52" i="3"/>
  <c r="T52" i="3"/>
  <c r="P52" i="3"/>
  <c r="U63" i="3"/>
  <c r="U15" i="3"/>
  <c r="U87" i="3"/>
  <c r="U27" i="3"/>
  <c r="U111" i="3"/>
  <c r="U51" i="3"/>
  <c r="E138" i="3"/>
  <c r="C138" i="3"/>
  <c r="D138" i="3" s="1"/>
  <c r="B139" i="3"/>
  <c r="C18" i="3"/>
  <c r="E42" i="3"/>
  <c r="C42" i="3"/>
  <c r="B43" i="3"/>
  <c r="D29" i="3"/>
  <c r="G137" i="3"/>
  <c r="I137" i="3"/>
  <c r="E66" i="3"/>
  <c r="C66" i="3"/>
  <c r="D66" i="3" s="1"/>
  <c r="B67" i="3"/>
  <c r="E102" i="3"/>
  <c r="B103" i="3"/>
  <c r="C102" i="3"/>
  <c r="D102" i="3" s="1"/>
  <c r="G53" i="3"/>
  <c r="I53" i="3"/>
  <c r="E162" i="3"/>
  <c r="C162" i="3"/>
  <c r="D162" i="3" s="1"/>
  <c r="B175" i="3"/>
  <c r="B163" i="3"/>
  <c r="E30" i="3"/>
  <c r="C30" i="3"/>
  <c r="G89" i="3"/>
  <c r="G113" i="3"/>
  <c r="E78" i="3"/>
  <c r="B79" i="3"/>
  <c r="C78" i="3"/>
  <c r="D78" i="3" s="1"/>
  <c r="F65" i="3"/>
  <c r="E54" i="3"/>
  <c r="E56" i="7" s="1"/>
  <c r="B55" i="3"/>
  <c r="C54" i="3"/>
  <c r="D54" i="3" s="1"/>
  <c r="E150" i="3"/>
  <c r="B151" i="3"/>
  <c r="C150" i="3"/>
  <c r="D150" i="3" s="1"/>
  <c r="E90" i="3"/>
  <c r="B91" i="3"/>
  <c r="C90" i="3"/>
  <c r="D90" i="3" s="1"/>
  <c r="K39" i="3"/>
  <c r="I125" i="3"/>
  <c r="E114" i="3"/>
  <c r="B115" i="3"/>
  <c r="C114" i="3"/>
  <c r="D114" i="3" s="1"/>
  <c r="E126" i="3"/>
  <c r="C126" i="3"/>
  <c r="D126" i="3" s="1"/>
  <c r="B127" i="3"/>
  <c r="G149" i="3"/>
  <c r="I29" i="3"/>
  <c r="G28" i="3"/>
  <c r="I28" i="3"/>
  <c r="G17" i="3"/>
  <c r="G18" i="3" s="1"/>
  <c r="I17" i="3"/>
  <c r="G77" i="3"/>
  <c r="I77" i="3"/>
  <c r="H153" i="6" l="1"/>
  <c r="O40" i="3"/>
  <c r="K40" i="3"/>
  <c r="G106" i="6"/>
  <c r="E107" i="6"/>
  <c r="H45" i="6"/>
  <c r="G46" i="6"/>
  <c r="G166" i="6"/>
  <c r="E167" i="6"/>
  <c r="G118" i="6"/>
  <c r="H118" i="6" s="1"/>
  <c r="E119" i="6"/>
  <c r="G94" i="6"/>
  <c r="H94" i="6" s="1"/>
  <c r="I95" i="6" s="1"/>
  <c r="J95" i="6" s="1"/>
  <c r="E95" i="6"/>
  <c r="I34" i="6"/>
  <c r="H33" i="6"/>
  <c r="Q40" i="3"/>
  <c r="S40" i="3"/>
  <c r="G142" i="6"/>
  <c r="H142" i="6" s="1"/>
  <c r="E143" i="6"/>
  <c r="G130" i="6"/>
  <c r="E131" i="6"/>
  <c r="I141" i="6"/>
  <c r="J141" i="6" s="1"/>
  <c r="I33" i="6"/>
  <c r="J21" i="6"/>
  <c r="G178" i="6"/>
  <c r="H178" i="6" s="1"/>
  <c r="E179" i="6"/>
  <c r="H117" i="6"/>
  <c r="I118" i="6" s="1"/>
  <c r="J118" i="6" s="1"/>
  <c r="N20" i="8"/>
  <c r="N21" i="8" s="1"/>
  <c r="N20" i="6"/>
  <c r="N21" i="6"/>
  <c r="H81" i="6"/>
  <c r="I82" i="6" s="1"/>
  <c r="J82" i="6" s="1"/>
  <c r="N40" i="3"/>
  <c r="J77" i="8"/>
  <c r="C24" i="9"/>
  <c r="G70" i="6"/>
  <c r="H70" i="6" s="1"/>
  <c r="E71" i="6"/>
  <c r="G58" i="6"/>
  <c r="E59" i="6"/>
  <c r="G154" i="6"/>
  <c r="H154" i="6" s="1"/>
  <c r="E155" i="6"/>
  <c r="G82" i="6"/>
  <c r="H82" i="6" s="1"/>
  <c r="E83" i="6"/>
  <c r="H177" i="6"/>
  <c r="I21" i="8"/>
  <c r="J18" i="8"/>
  <c r="F43" i="8"/>
  <c r="I90" i="8"/>
  <c r="G56" i="7"/>
  <c r="E57" i="8"/>
  <c r="E21" i="8"/>
  <c r="L5" i="7"/>
  <c r="F55" i="8"/>
  <c r="F139" i="8"/>
  <c r="G31" i="7"/>
  <c r="G32" i="8" s="1"/>
  <c r="E32" i="8"/>
  <c r="G127" i="7"/>
  <c r="E128" i="8"/>
  <c r="I54" i="8"/>
  <c r="H42" i="7"/>
  <c r="H43" i="8" s="1"/>
  <c r="F66" i="8"/>
  <c r="H67" i="7"/>
  <c r="H68" i="8" s="1"/>
  <c r="G68" i="8"/>
  <c r="F68" i="8" s="1"/>
  <c r="H78" i="7"/>
  <c r="G79" i="8"/>
  <c r="H18" i="7"/>
  <c r="H19" i="8" s="1"/>
  <c r="G19" i="8"/>
  <c r="F19" i="8" s="1"/>
  <c r="H114" i="7"/>
  <c r="H115" i="8" s="1"/>
  <c r="G115" i="8"/>
  <c r="F115" i="8" s="1"/>
  <c r="G139" i="7"/>
  <c r="E140" i="8"/>
  <c r="G55" i="7"/>
  <c r="E56" i="8"/>
  <c r="G43" i="7"/>
  <c r="E44" i="8"/>
  <c r="G103" i="7"/>
  <c r="E104" i="8"/>
  <c r="F114" i="8"/>
  <c r="H90" i="7"/>
  <c r="H91" i="8" s="1"/>
  <c r="G91" i="8"/>
  <c r="F91" i="8" s="1"/>
  <c r="H126" i="7"/>
  <c r="H127" i="8" s="1"/>
  <c r="G127" i="8"/>
  <c r="I66" i="7"/>
  <c r="J66" i="7" s="1"/>
  <c r="H102" i="8"/>
  <c r="I102" i="7"/>
  <c r="J102" i="7" s="1"/>
  <c r="I30" i="7"/>
  <c r="J30" i="7" s="1"/>
  <c r="G101" i="3"/>
  <c r="I41" i="3"/>
  <c r="O136" i="3"/>
  <c r="F114" i="3"/>
  <c r="G114" i="3" s="1"/>
  <c r="E116" i="7"/>
  <c r="F78" i="3"/>
  <c r="E80" i="7"/>
  <c r="H102" i="7"/>
  <c r="H103" i="8" s="1"/>
  <c r="G115" i="7"/>
  <c r="G116" i="8" s="1"/>
  <c r="F116" i="8" s="1"/>
  <c r="Q136" i="3"/>
  <c r="S136" i="3"/>
  <c r="I43" i="7"/>
  <c r="J43" i="7" s="1"/>
  <c r="G91" i="7"/>
  <c r="G92" i="8" s="1"/>
  <c r="F92" i="8" s="1"/>
  <c r="G151" i="7"/>
  <c r="G152" i="8" s="1"/>
  <c r="F42" i="3"/>
  <c r="G42" i="3" s="1"/>
  <c r="E44" i="7"/>
  <c r="F90" i="3"/>
  <c r="I90" i="3" s="1"/>
  <c r="E92" i="7"/>
  <c r="F30" i="3"/>
  <c r="G30" i="3" s="1"/>
  <c r="E32" i="7"/>
  <c r="E33" i="8" s="1"/>
  <c r="F162" i="3"/>
  <c r="G162" i="3" s="1"/>
  <c r="E164" i="7"/>
  <c r="E165" i="8" s="1"/>
  <c r="F66" i="3"/>
  <c r="I66" i="3" s="1"/>
  <c r="E68" i="7"/>
  <c r="N136" i="3"/>
  <c r="P136" i="3"/>
  <c r="G19" i="7"/>
  <c r="G20" i="8" s="1"/>
  <c r="E20" i="7"/>
  <c r="H66" i="7"/>
  <c r="H67" i="8" s="1"/>
  <c r="G79" i="7"/>
  <c r="G80" i="8" s="1"/>
  <c r="F80" i="8" s="1"/>
  <c r="F138" i="3"/>
  <c r="G138" i="3" s="1"/>
  <c r="E140" i="7"/>
  <c r="E141" i="8" s="1"/>
  <c r="F150" i="3"/>
  <c r="G150" i="3" s="1"/>
  <c r="E152" i="7"/>
  <c r="F126" i="3"/>
  <c r="G126" i="3" s="1"/>
  <c r="E128" i="7"/>
  <c r="F102" i="3"/>
  <c r="G102" i="3" s="1"/>
  <c r="E104" i="7"/>
  <c r="R136" i="3"/>
  <c r="H138" i="7"/>
  <c r="H139" i="8" s="1"/>
  <c r="K137" i="3"/>
  <c r="Q137" i="3"/>
  <c r="T137" i="3"/>
  <c r="P137" i="3"/>
  <c r="S137" i="3"/>
  <c r="O137" i="3"/>
  <c r="N137" i="3"/>
  <c r="R137" i="3"/>
  <c r="K41" i="3"/>
  <c r="Q41" i="3"/>
  <c r="T41" i="3"/>
  <c r="P41" i="3"/>
  <c r="S41" i="3"/>
  <c r="O41" i="3"/>
  <c r="N41" i="3"/>
  <c r="R41" i="3"/>
  <c r="U52" i="3"/>
  <c r="U124" i="3"/>
  <c r="S17" i="3"/>
  <c r="S18" i="3" s="1"/>
  <c r="O17" i="3"/>
  <c r="O18" i="3" s="1"/>
  <c r="R17" i="3"/>
  <c r="R18" i="3" s="1"/>
  <c r="N17" i="3"/>
  <c r="Q17" i="3"/>
  <c r="Q18" i="3" s="1"/>
  <c r="T17" i="3"/>
  <c r="T18" i="3" s="1"/>
  <c r="P17" i="3"/>
  <c r="P18" i="3" s="1"/>
  <c r="K149" i="3"/>
  <c r="S149" i="3"/>
  <c r="P149" i="3"/>
  <c r="T149" i="3"/>
  <c r="O149" i="3"/>
  <c r="R149" i="3"/>
  <c r="N149" i="3"/>
  <c r="Q149" i="3"/>
  <c r="U39" i="3"/>
  <c r="U16" i="3"/>
  <c r="U100" i="3"/>
  <c r="U40" i="3"/>
  <c r="U64" i="3"/>
  <c r="K29" i="3"/>
  <c r="R29" i="3"/>
  <c r="N29" i="3"/>
  <c r="Q29" i="3"/>
  <c r="T29" i="3"/>
  <c r="P29" i="3"/>
  <c r="O29" i="3"/>
  <c r="S29" i="3"/>
  <c r="K101" i="3"/>
  <c r="Q101" i="3"/>
  <c r="T101" i="3"/>
  <c r="P101" i="3"/>
  <c r="S101" i="3"/>
  <c r="O101" i="3"/>
  <c r="R101" i="3"/>
  <c r="N101" i="3"/>
  <c r="K89" i="3"/>
  <c r="R89" i="3"/>
  <c r="N89" i="3"/>
  <c r="Q89" i="3"/>
  <c r="T89" i="3"/>
  <c r="P89" i="3"/>
  <c r="S89" i="3"/>
  <c r="O89" i="3"/>
  <c r="K53" i="3"/>
  <c r="T53" i="3"/>
  <c r="P53" i="3"/>
  <c r="S53" i="3"/>
  <c r="O53" i="3"/>
  <c r="R53" i="3"/>
  <c r="N53" i="3"/>
  <c r="Q53" i="3"/>
  <c r="K77" i="3"/>
  <c r="S77" i="3"/>
  <c r="O77" i="3"/>
  <c r="R77" i="3"/>
  <c r="N77" i="3"/>
  <c r="Q77" i="3"/>
  <c r="P77" i="3"/>
  <c r="T77" i="3"/>
  <c r="Q28" i="3"/>
  <c r="T28" i="3"/>
  <c r="P28" i="3"/>
  <c r="S28" i="3"/>
  <c r="O28" i="3"/>
  <c r="R28" i="3"/>
  <c r="N28" i="3"/>
  <c r="K113" i="3"/>
  <c r="S113" i="3"/>
  <c r="O113" i="3"/>
  <c r="R113" i="3"/>
  <c r="N113" i="3"/>
  <c r="Q113" i="3"/>
  <c r="T113" i="3"/>
  <c r="P113" i="3"/>
  <c r="K125" i="3"/>
  <c r="R125" i="3"/>
  <c r="N125" i="3"/>
  <c r="Q125" i="3"/>
  <c r="T125" i="3"/>
  <c r="P125" i="3"/>
  <c r="S125" i="3"/>
  <c r="O125" i="3"/>
  <c r="U76" i="3"/>
  <c r="U88" i="3"/>
  <c r="U112" i="3"/>
  <c r="G78" i="3"/>
  <c r="I78" i="3"/>
  <c r="I162" i="3"/>
  <c r="E67" i="3"/>
  <c r="E69" i="7" s="1"/>
  <c r="B68" i="3"/>
  <c r="C67" i="3"/>
  <c r="D67" i="3" s="1"/>
  <c r="K17" i="3"/>
  <c r="K18" i="3" s="1"/>
  <c r="I18" i="3"/>
  <c r="K28" i="3"/>
  <c r="E127" i="3"/>
  <c r="B128" i="3"/>
  <c r="C127" i="3"/>
  <c r="D127" i="3" s="1"/>
  <c r="E163" i="3"/>
  <c r="B164" i="3"/>
  <c r="C163" i="3"/>
  <c r="D163" i="3" s="1"/>
  <c r="E43" i="3"/>
  <c r="E45" i="7" s="1"/>
  <c r="E46" i="8" s="1"/>
  <c r="C43" i="3"/>
  <c r="D43" i="3" s="1"/>
  <c r="E139" i="3"/>
  <c r="B140" i="3"/>
  <c r="C139" i="3"/>
  <c r="D139" i="3" s="1"/>
  <c r="E151" i="3"/>
  <c r="C151" i="3"/>
  <c r="D151" i="3" s="1"/>
  <c r="B152" i="3"/>
  <c r="E55" i="3"/>
  <c r="C55" i="3"/>
  <c r="D55" i="3" s="1"/>
  <c r="B56" i="3"/>
  <c r="E175" i="3"/>
  <c r="C175" i="3"/>
  <c r="D175" i="3" s="1"/>
  <c r="B176" i="3"/>
  <c r="G66" i="3"/>
  <c r="D42" i="3"/>
  <c r="D44" i="3" s="1"/>
  <c r="G31" i="3"/>
  <c r="E103" i="3"/>
  <c r="C103" i="3"/>
  <c r="D103" i="3" s="1"/>
  <c r="B104" i="3"/>
  <c r="G65" i="3"/>
  <c r="I65" i="3"/>
  <c r="E115" i="3"/>
  <c r="C115" i="3"/>
  <c r="D115" i="3" s="1"/>
  <c r="B116" i="3"/>
  <c r="E91" i="3"/>
  <c r="C91" i="3"/>
  <c r="D91" i="3" s="1"/>
  <c r="B92" i="3"/>
  <c r="F54" i="3"/>
  <c r="E79" i="3"/>
  <c r="E81" i="7" s="1"/>
  <c r="C79" i="3"/>
  <c r="B80" i="3"/>
  <c r="E31" i="3"/>
  <c r="D30" i="3"/>
  <c r="D31" i="3" s="1"/>
  <c r="B44" i="3"/>
  <c r="C31" i="3"/>
  <c r="I138" i="3"/>
  <c r="E34" i="8" l="1"/>
  <c r="J54" i="8"/>
  <c r="C17" i="9"/>
  <c r="H166" i="6"/>
  <c r="I126" i="3"/>
  <c r="I115" i="7"/>
  <c r="J115" i="7" s="1"/>
  <c r="J90" i="8"/>
  <c r="C28" i="9"/>
  <c r="H58" i="6"/>
  <c r="G59" i="6"/>
  <c r="N22" i="8"/>
  <c r="N22" i="6"/>
  <c r="G131" i="6"/>
  <c r="H131" i="6" s="1"/>
  <c r="E132" i="6"/>
  <c r="J34" i="6"/>
  <c r="I46" i="6"/>
  <c r="I47" i="6"/>
  <c r="H46" i="6"/>
  <c r="G119" i="6"/>
  <c r="E120" i="6"/>
  <c r="I42" i="3"/>
  <c r="F31" i="3"/>
  <c r="G155" i="6"/>
  <c r="H155" i="6" s="1"/>
  <c r="E156" i="6"/>
  <c r="G71" i="6"/>
  <c r="E72" i="6"/>
  <c r="G179" i="6"/>
  <c r="E180" i="6"/>
  <c r="H130" i="6"/>
  <c r="G95" i="6"/>
  <c r="H95" i="6" s="1"/>
  <c r="E96" i="6"/>
  <c r="G107" i="6"/>
  <c r="H107" i="6" s="1"/>
  <c r="E108" i="6"/>
  <c r="G83" i="6"/>
  <c r="H83" i="6" s="1"/>
  <c r="E84" i="6"/>
  <c r="I30" i="3"/>
  <c r="G143" i="6"/>
  <c r="H143" i="6" s="1"/>
  <c r="I144" i="6" s="1"/>
  <c r="J144" i="6" s="1"/>
  <c r="E144" i="6"/>
  <c r="G167" i="6"/>
  <c r="H167" i="6" s="1"/>
  <c r="E168" i="6"/>
  <c r="H106" i="6"/>
  <c r="I154" i="6"/>
  <c r="J154" i="6" s="1"/>
  <c r="G44" i="7"/>
  <c r="E45" i="8"/>
  <c r="E47" i="8" s="1"/>
  <c r="I44" i="8"/>
  <c r="G81" i="7"/>
  <c r="E82" i="8"/>
  <c r="G104" i="7"/>
  <c r="E105" i="8"/>
  <c r="G69" i="7"/>
  <c r="E70" i="8"/>
  <c r="G92" i="7"/>
  <c r="E93" i="8"/>
  <c r="F152" i="8"/>
  <c r="H31" i="7"/>
  <c r="H32" i="8" s="1"/>
  <c r="F79" i="8"/>
  <c r="G68" i="7"/>
  <c r="E69" i="8"/>
  <c r="I31" i="8"/>
  <c r="F127" i="8"/>
  <c r="G152" i="7"/>
  <c r="E153" i="8"/>
  <c r="F20" i="8"/>
  <c r="G21" i="8"/>
  <c r="F21" i="8" s="1"/>
  <c r="G116" i="7"/>
  <c r="E117" i="8"/>
  <c r="I103" i="8"/>
  <c r="H103" i="7"/>
  <c r="H104" i="8" s="1"/>
  <c r="G104" i="8"/>
  <c r="H139" i="7"/>
  <c r="H140" i="8" s="1"/>
  <c r="G140" i="8"/>
  <c r="F32" i="8"/>
  <c r="G128" i="7"/>
  <c r="G129" i="8" s="1"/>
  <c r="E129" i="8"/>
  <c r="G80" i="7"/>
  <c r="E81" i="8"/>
  <c r="I67" i="8"/>
  <c r="H43" i="7"/>
  <c r="H44" i="8" s="1"/>
  <c r="G44" i="8"/>
  <c r="F44" i="8" s="1"/>
  <c r="H55" i="7"/>
  <c r="G56" i="8"/>
  <c r="F56" i="8" s="1"/>
  <c r="H79" i="8"/>
  <c r="I79" i="7"/>
  <c r="J79" i="7" s="1"/>
  <c r="H127" i="7"/>
  <c r="G128" i="8"/>
  <c r="F128" i="8" s="1"/>
  <c r="C6" i="7"/>
  <c r="H56" i="7"/>
  <c r="H57" i="8" s="1"/>
  <c r="G57" i="8"/>
  <c r="F57" i="8" s="1"/>
  <c r="U136" i="3"/>
  <c r="I150" i="3"/>
  <c r="N150" i="3" s="1"/>
  <c r="I114" i="3"/>
  <c r="P114" i="3" s="1"/>
  <c r="I102" i="3"/>
  <c r="N102" i="3" s="1"/>
  <c r="G90" i="3"/>
  <c r="F103" i="3"/>
  <c r="E105" i="7"/>
  <c r="E106" i="8" s="1"/>
  <c r="F151" i="3"/>
  <c r="G151" i="3" s="1"/>
  <c r="E153" i="7"/>
  <c r="F115" i="3"/>
  <c r="E117" i="7"/>
  <c r="E118" i="8" s="1"/>
  <c r="F55" i="3"/>
  <c r="I55" i="3" s="1"/>
  <c r="E57" i="7"/>
  <c r="G45" i="7"/>
  <c r="G46" i="8" s="1"/>
  <c r="E46" i="7"/>
  <c r="F127" i="3"/>
  <c r="G127" i="3" s="1"/>
  <c r="E129" i="7"/>
  <c r="E130" i="8" s="1"/>
  <c r="G32" i="7"/>
  <c r="G33" i="8" s="1"/>
  <c r="E33" i="7"/>
  <c r="H151" i="7"/>
  <c r="H152" i="8" s="1"/>
  <c r="F91" i="3"/>
  <c r="I91" i="3" s="1"/>
  <c r="E93" i="7"/>
  <c r="F175" i="3"/>
  <c r="I175" i="3" s="1"/>
  <c r="E177" i="7"/>
  <c r="E178" i="8" s="1"/>
  <c r="F163" i="3"/>
  <c r="G163" i="3" s="1"/>
  <c r="E165" i="7"/>
  <c r="H128" i="7"/>
  <c r="H129" i="8" s="1"/>
  <c r="H19" i="7"/>
  <c r="H20" i="8" s="1"/>
  <c r="H21" i="8" s="1"/>
  <c r="G20" i="7"/>
  <c r="F139" i="3"/>
  <c r="G139" i="3" s="1"/>
  <c r="E141" i="7"/>
  <c r="G140" i="7"/>
  <c r="G141" i="8" s="1"/>
  <c r="F141" i="8" s="1"/>
  <c r="H79" i="7"/>
  <c r="G164" i="7"/>
  <c r="G165" i="8" s="1"/>
  <c r="H91" i="7"/>
  <c r="H92" i="8" s="1"/>
  <c r="H115" i="7"/>
  <c r="H116" i="8" s="1"/>
  <c r="U137" i="3"/>
  <c r="U53" i="3"/>
  <c r="U89" i="3"/>
  <c r="U125" i="3"/>
  <c r="K150" i="3"/>
  <c r="R150" i="3"/>
  <c r="T150" i="3"/>
  <c r="P150" i="3"/>
  <c r="O150" i="3"/>
  <c r="Q150" i="3"/>
  <c r="K126" i="3"/>
  <c r="S126" i="3"/>
  <c r="O126" i="3"/>
  <c r="R126" i="3"/>
  <c r="N126" i="3"/>
  <c r="Q126" i="3"/>
  <c r="T126" i="3"/>
  <c r="P126" i="3"/>
  <c r="K114" i="3"/>
  <c r="T114" i="3"/>
  <c r="O114" i="3"/>
  <c r="R114" i="3"/>
  <c r="K66" i="3"/>
  <c r="T66" i="3"/>
  <c r="P66" i="3"/>
  <c r="S66" i="3"/>
  <c r="O66" i="3"/>
  <c r="R66" i="3"/>
  <c r="N66" i="3"/>
  <c r="Q66" i="3"/>
  <c r="R102" i="3"/>
  <c r="P102" i="3"/>
  <c r="K78" i="3"/>
  <c r="T78" i="3"/>
  <c r="P78" i="3"/>
  <c r="S78" i="3"/>
  <c r="O78" i="3"/>
  <c r="R78" i="3"/>
  <c r="N78" i="3"/>
  <c r="Q78" i="3"/>
  <c r="U77" i="3"/>
  <c r="K42" i="3"/>
  <c r="R42" i="3"/>
  <c r="N42" i="3"/>
  <c r="Q42" i="3"/>
  <c r="T42" i="3"/>
  <c r="P42" i="3"/>
  <c r="S42" i="3"/>
  <c r="O42" i="3"/>
  <c r="K90" i="3"/>
  <c r="S90" i="3"/>
  <c r="O90" i="3"/>
  <c r="R90" i="3"/>
  <c r="N90" i="3"/>
  <c r="Q90" i="3"/>
  <c r="T90" i="3"/>
  <c r="P90" i="3"/>
  <c r="U29" i="3"/>
  <c r="U149" i="3"/>
  <c r="K138" i="3"/>
  <c r="R138" i="3"/>
  <c r="N138" i="3"/>
  <c r="Q138" i="3"/>
  <c r="T138" i="3"/>
  <c r="P138" i="3"/>
  <c r="S138" i="3"/>
  <c r="O138" i="3"/>
  <c r="U113" i="3"/>
  <c r="U41" i="3"/>
  <c r="U17" i="3"/>
  <c r="U18" i="3" s="1"/>
  <c r="N18" i="3"/>
  <c r="K30" i="3"/>
  <c r="K31" i="3" s="1"/>
  <c r="S30" i="3"/>
  <c r="S31" i="3" s="1"/>
  <c r="O30" i="3"/>
  <c r="O31" i="3" s="1"/>
  <c r="R30" i="3"/>
  <c r="R31" i="3" s="1"/>
  <c r="N30" i="3"/>
  <c r="Q30" i="3"/>
  <c r="Q31" i="3" s="1"/>
  <c r="T30" i="3"/>
  <c r="T31" i="3" s="1"/>
  <c r="P30" i="3"/>
  <c r="P31" i="3" s="1"/>
  <c r="S65" i="3"/>
  <c r="O65" i="3"/>
  <c r="R65" i="3"/>
  <c r="N65" i="3"/>
  <c r="Q65" i="3"/>
  <c r="T65" i="3"/>
  <c r="P65" i="3"/>
  <c r="K162" i="3"/>
  <c r="Q162" i="3"/>
  <c r="T162" i="3"/>
  <c r="P162" i="3"/>
  <c r="S162" i="3"/>
  <c r="O162" i="3"/>
  <c r="N162" i="3"/>
  <c r="R162" i="3"/>
  <c r="U28" i="3"/>
  <c r="U101" i="3"/>
  <c r="F79" i="3"/>
  <c r="E116" i="3"/>
  <c r="C116" i="3"/>
  <c r="D116" i="3" s="1"/>
  <c r="B117" i="3"/>
  <c r="E56" i="3"/>
  <c r="E58" i="7" s="1"/>
  <c r="E59" i="8" s="1"/>
  <c r="C56" i="3"/>
  <c r="D56" i="3" s="1"/>
  <c r="D57" i="3" s="1"/>
  <c r="B57" i="3"/>
  <c r="E68" i="3"/>
  <c r="C68" i="3"/>
  <c r="B69" i="3"/>
  <c r="B70" i="3" s="1"/>
  <c r="E92" i="3"/>
  <c r="E94" i="7" s="1"/>
  <c r="B93" i="3"/>
  <c r="C92" i="3"/>
  <c r="D92" i="3" s="1"/>
  <c r="E176" i="3"/>
  <c r="B177" i="3"/>
  <c r="C176" i="3"/>
  <c r="D176" i="3" s="1"/>
  <c r="I151" i="3"/>
  <c r="F67" i="3"/>
  <c r="E80" i="3"/>
  <c r="B81" i="3"/>
  <c r="C80" i="3"/>
  <c r="D80" i="3" s="1"/>
  <c r="G54" i="3"/>
  <c r="I54" i="3"/>
  <c r="G115" i="3"/>
  <c r="I115" i="3"/>
  <c r="K65" i="3"/>
  <c r="G103" i="3"/>
  <c r="I103" i="3"/>
  <c r="G55" i="3"/>
  <c r="F43" i="3"/>
  <c r="E44" i="3"/>
  <c r="E164" i="3"/>
  <c r="C164" i="3"/>
  <c r="D164" i="3" s="1"/>
  <c r="B165" i="3"/>
  <c r="E104" i="3"/>
  <c r="C104" i="3"/>
  <c r="B105" i="3"/>
  <c r="E128" i="3"/>
  <c r="B129" i="3"/>
  <c r="C128" i="3"/>
  <c r="D128" i="3" s="1"/>
  <c r="D79" i="3"/>
  <c r="G91" i="3"/>
  <c r="C44" i="3"/>
  <c r="G175" i="3"/>
  <c r="E152" i="3"/>
  <c r="C152" i="3"/>
  <c r="D152" i="3" s="1"/>
  <c r="B153" i="3"/>
  <c r="E140" i="3"/>
  <c r="C140" i="3"/>
  <c r="D140" i="3" s="1"/>
  <c r="B141" i="3"/>
  <c r="I163" i="3"/>
  <c r="I31" i="3"/>
  <c r="J103" i="8" l="1"/>
  <c r="C32" i="9"/>
  <c r="G108" i="6"/>
  <c r="H108" i="6" s="1"/>
  <c r="E109" i="6"/>
  <c r="H179" i="6"/>
  <c r="G156" i="6"/>
  <c r="H156" i="6" s="1"/>
  <c r="E157" i="6"/>
  <c r="J47" i="6"/>
  <c r="I59" i="6"/>
  <c r="G132" i="6"/>
  <c r="E133" i="6"/>
  <c r="J31" i="8"/>
  <c r="C10" i="9"/>
  <c r="J44" i="8"/>
  <c r="C14" i="9"/>
  <c r="G168" i="6"/>
  <c r="H168" i="6" s="1"/>
  <c r="E169" i="6"/>
  <c r="G84" i="6"/>
  <c r="E85" i="6"/>
  <c r="I108" i="6"/>
  <c r="J108" i="6" s="1"/>
  <c r="I131" i="6"/>
  <c r="J131" i="6" s="1"/>
  <c r="G120" i="6"/>
  <c r="H120" i="6" s="1"/>
  <c r="E121" i="6"/>
  <c r="I60" i="6"/>
  <c r="H59" i="6"/>
  <c r="J67" i="8"/>
  <c r="C21" i="9"/>
  <c r="G96" i="6"/>
  <c r="H96" i="6" s="1"/>
  <c r="E97" i="6"/>
  <c r="H71" i="6"/>
  <c r="G72" i="6"/>
  <c r="H119" i="6"/>
  <c r="N23" i="6"/>
  <c r="N23" i="8"/>
  <c r="I116" i="8"/>
  <c r="G144" i="6"/>
  <c r="H144" i="6" s="1"/>
  <c r="E145" i="6"/>
  <c r="G180" i="6"/>
  <c r="H180" i="6" s="1"/>
  <c r="E181" i="6"/>
  <c r="I167" i="6"/>
  <c r="J167" i="6" s="1"/>
  <c r="F129" i="8"/>
  <c r="G94" i="7"/>
  <c r="E95" i="8"/>
  <c r="G153" i="7"/>
  <c r="E154" i="8"/>
  <c r="F165" i="8"/>
  <c r="G165" i="7"/>
  <c r="E166" i="8"/>
  <c r="G93" i="7"/>
  <c r="E94" i="8"/>
  <c r="F104" i="8"/>
  <c r="H92" i="7"/>
  <c r="H93" i="8" s="1"/>
  <c r="G93" i="8"/>
  <c r="F93" i="8" s="1"/>
  <c r="H80" i="8"/>
  <c r="F33" i="8"/>
  <c r="G34" i="8"/>
  <c r="F34" i="8" s="1"/>
  <c r="H128" i="8"/>
  <c r="I128" i="7"/>
  <c r="J128" i="7" s="1"/>
  <c r="H56" i="8"/>
  <c r="I56" i="7"/>
  <c r="J56" i="7" s="1"/>
  <c r="H80" i="7"/>
  <c r="H81" i="8" s="1"/>
  <c r="G81" i="8"/>
  <c r="H68" i="7"/>
  <c r="G69" i="8"/>
  <c r="F69" i="8" s="1"/>
  <c r="H81" i="7"/>
  <c r="H82" i="8" s="1"/>
  <c r="G82" i="8"/>
  <c r="F82" i="8" s="1"/>
  <c r="F46" i="8"/>
  <c r="I80" i="8"/>
  <c r="F140" i="8"/>
  <c r="H44" i="7"/>
  <c r="H45" i="8" s="1"/>
  <c r="G45" i="8"/>
  <c r="F45" i="8" s="1"/>
  <c r="G141" i="7"/>
  <c r="E142" i="8"/>
  <c r="G57" i="7"/>
  <c r="E58" i="8"/>
  <c r="E60" i="8" s="1"/>
  <c r="H116" i="7"/>
  <c r="H117" i="8" s="1"/>
  <c r="G117" i="8"/>
  <c r="H152" i="7"/>
  <c r="H153" i="8" s="1"/>
  <c r="G153" i="8"/>
  <c r="H69" i="7"/>
  <c r="H70" i="8" s="1"/>
  <c r="G70" i="8"/>
  <c r="F70" i="8" s="1"/>
  <c r="H104" i="7"/>
  <c r="H105" i="8" s="1"/>
  <c r="G105" i="8"/>
  <c r="F105" i="8" s="1"/>
  <c r="T102" i="3"/>
  <c r="K102" i="3"/>
  <c r="S114" i="3"/>
  <c r="I127" i="3"/>
  <c r="P127" i="3" s="1"/>
  <c r="S102" i="3"/>
  <c r="Q102" i="3"/>
  <c r="Q114" i="3"/>
  <c r="O102" i="3"/>
  <c r="N114" i="3"/>
  <c r="S150" i="3"/>
  <c r="I21" i="7"/>
  <c r="J21" i="7" s="1"/>
  <c r="H20" i="7"/>
  <c r="F152" i="3"/>
  <c r="E154" i="7"/>
  <c r="F80" i="3"/>
  <c r="G80" i="3" s="1"/>
  <c r="E82" i="7"/>
  <c r="F68" i="3"/>
  <c r="G68" i="3" s="1"/>
  <c r="E70" i="7"/>
  <c r="F116" i="3"/>
  <c r="I116" i="3" s="1"/>
  <c r="E118" i="7"/>
  <c r="H164" i="7"/>
  <c r="H165" i="8" s="1"/>
  <c r="H140" i="7"/>
  <c r="H141" i="8" s="1"/>
  <c r="H32" i="7"/>
  <c r="H33" i="8" s="1"/>
  <c r="H34" i="8" s="1"/>
  <c r="G33" i="7"/>
  <c r="G117" i="7"/>
  <c r="G118" i="8" s="1"/>
  <c r="F118" i="8" s="1"/>
  <c r="F140" i="3"/>
  <c r="G140" i="3" s="1"/>
  <c r="E142" i="7"/>
  <c r="E143" i="8" s="1"/>
  <c r="F128" i="3"/>
  <c r="G128" i="3" s="1"/>
  <c r="E130" i="7"/>
  <c r="F104" i="3"/>
  <c r="G104" i="3" s="1"/>
  <c r="E106" i="7"/>
  <c r="I139" i="3"/>
  <c r="K139" i="3" s="1"/>
  <c r="G58" i="7"/>
  <c r="G59" i="8" s="1"/>
  <c r="E59" i="7"/>
  <c r="H45" i="7"/>
  <c r="H46" i="8" s="1"/>
  <c r="G46" i="7"/>
  <c r="G105" i="7"/>
  <c r="G106" i="8" s="1"/>
  <c r="F106" i="8" s="1"/>
  <c r="F164" i="3"/>
  <c r="I164" i="3" s="1"/>
  <c r="E166" i="7"/>
  <c r="E167" i="8" s="1"/>
  <c r="F176" i="3"/>
  <c r="E178" i="7"/>
  <c r="I92" i="7"/>
  <c r="J92" i="7" s="1"/>
  <c r="G177" i="7"/>
  <c r="G178" i="8" s="1"/>
  <c r="G129" i="7"/>
  <c r="G130" i="8" s="1"/>
  <c r="F130" i="8" s="1"/>
  <c r="K103" i="3"/>
  <c r="S103" i="3"/>
  <c r="O103" i="3"/>
  <c r="R103" i="3"/>
  <c r="N103" i="3"/>
  <c r="Q103" i="3"/>
  <c r="T103" i="3"/>
  <c r="P103" i="3"/>
  <c r="U30" i="3"/>
  <c r="U31" i="3" s="1"/>
  <c r="N31" i="3"/>
  <c r="U90" i="3"/>
  <c r="U78" i="3"/>
  <c r="U66" i="3"/>
  <c r="U150" i="3"/>
  <c r="T127" i="3"/>
  <c r="R127" i="3"/>
  <c r="K151" i="3"/>
  <c r="S151" i="3"/>
  <c r="O151" i="3"/>
  <c r="Q151" i="3"/>
  <c r="P151" i="3"/>
  <c r="N151" i="3"/>
  <c r="T151" i="3"/>
  <c r="R151" i="3"/>
  <c r="K91" i="3"/>
  <c r="T91" i="3"/>
  <c r="P91" i="3"/>
  <c r="S91" i="3"/>
  <c r="O91" i="3"/>
  <c r="R91" i="3"/>
  <c r="N91" i="3"/>
  <c r="Q91" i="3"/>
  <c r="Q54" i="3"/>
  <c r="T54" i="3"/>
  <c r="P54" i="3"/>
  <c r="S54" i="3"/>
  <c r="O54" i="3"/>
  <c r="N54" i="3"/>
  <c r="R54" i="3"/>
  <c r="U65" i="3"/>
  <c r="K115" i="3"/>
  <c r="Q115" i="3"/>
  <c r="T115" i="3"/>
  <c r="P115" i="3"/>
  <c r="S115" i="3"/>
  <c r="O115" i="3"/>
  <c r="R115" i="3"/>
  <c r="N115" i="3"/>
  <c r="U162" i="3"/>
  <c r="U138" i="3"/>
  <c r="K163" i="3"/>
  <c r="R163" i="3"/>
  <c r="N163" i="3"/>
  <c r="Q163" i="3"/>
  <c r="T163" i="3"/>
  <c r="P163" i="3"/>
  <c r="S163" i="3"/>
  <c r="O163" i="3"/>
  <c r="K175" i="3"/>
  <c r="Q175" i="3"/>
  <c r="T175" i="3"/>
  <c r="P175" i="3"/>
  <c r="S175" i="3"/>
  <c r="O175" i="3"/>
  <c r="R175" i="3"/>
  <c r="N175" i="3"/>
  <c r="K55" i="3"/>
  <c r="R55" i="3"/>
  <c r="N55" i="3"/>
  <c r="Q55" i="3"/>
  <c r="T55" i="3"/>
  <c r="P55" i="3"/>
  <c r="S55" i="3"/>
  <c r="O55" i="3"/>
  <c r="R139" i="3"/>
  <c r="T139" i="3"/>
  <c r="U42" i="3"/>
  <c r="U126" i="3"/>
  <c r="G152" i="3"/>
  <c r="I152" i="3"/>
  <c r="E177" i="3"/>
  <c r="C177" i="3"/>
  <c r="D177" i="3" s="1"/>
  <c r="B178" i="3"/>
  <c r="I68" i="3"/>
  <c r="D68" i="3"/>
  <c r="G164" i="3"/>
  <c r="E153" i="3"/>
  <c r="B154" i="3"/>
  <c r="C153" i="3"/>
  <c r="D153" i="3" s="1"/>
  <c r="E105" i="3"/>
  <c r="E107" i="7" s="1"/>
  <c r="C105" i="3"/>
  <c r="D105" i="3" s="1"/>
  <c r="B106" i="3"/>
  <c r="C57" i="3"/>
  <c r="K54" i="3"/>
  <c r="I80" i="3"/>
  <c r="F56" i="3"/>
  <c r="E57" i="3"/>
  <c r="I104" i="3"/>
  <c r="G67" i="3"/>
  <c r="I67" i="3"/>
  <c r="E93" i="3"/>
  <c r="C93" i="3"/>
  <c r="D93" i="3" s="1"/>
  <c r="B94" i="3"/>
  <c r="E81" i="3"/>
  <c r="C81" i="3"/>
  <c r="B82" i="3"/>
  <c r="G176" i="3"/>
  <c r="I176" i="3"/>
  <c r="F92" i="3"/>
  <c r="E141" i="3"/>
  <c r="C141" i="3"/>
  <c r="D141" i="3" s="1"/>
  <c r="B142" i="3"/>
  <c r="E129" i="3"/>
  <c r="C129" i="3"/>
  <c r="D129" i="3" s="1"/>
  <c r="B130" i="3"/>
  <c r="D104" i="3"/>
  <c r="E165" i="3"/>
  <c r="B166" i="3"/>
  <c r="C165" i="3"/>
  <c r="D165" i="3" s="1"/>
  <c r="F44" i="3"/>
  <c r="G43" i="3"/>
  <c r="G44" i="3" s="1"/>
  <c r="I43" i="3"/>
  <c r="E69" i="3"/>
  <c r="C69" i="3"/>
  <c r="D69" i="3" s="1"/>
  <c r="E117" i="3"/>
  <c r="C117" i="3"/>
  <c r="D117" i="3" s="1"/>
  <c r="B118" i="3"/>
  <c r="G79" i="3"/>
  <c r="I79" i="3"/>
  <c r="G97" i="6" l="1"/>
  <c r="E98" i="6"/>
  <c r="G121" i="6"/>
  <c r="H121" i="6" s="1"/>
  <c r="E122" i="6"/>
  <c r="H132" i="6"/>
  <c r="I157" i="6"/>
  <c r="J157" i="6" s="1"/>
  <c r="U102" i="3"/>
  <c r="G145" i="6"/>
  <c r="H145" i="6" s="1"/>
  <c r="E146" i="6"/>
  <c r="I121" i="6"/>
  <c r="J121" i="6" s="1"/>
  <c r="U114" i="3"/>
  <c r="J80" i="8"/>
  <c r="C25" i="9"/>
  <c r="G181" i="6"/>
  <c r="H181" i="6" s="1"/>
  <c r="E182" i="6"/>
  <c r="J60" i="6"/>
  <c r="I72" i="6"/>
  <c r="H84" i="6"/>
  <c r="G85" i="6"/>
  <c r="I180" i="6"/>
  <c r="J180" i="6" s="1"/>
  <c r="J116" i="8"/>
  <c r="C36" i="9"/>
  <c r="N24" i="8"/>
  <c r="N24" i="6"/>
  <c r="I73" i="6"/>
  <c r="H72" i="6"/>
  <c r="G169" i="6"/>
  <c r="E170" i="6"/>
  <c r="G133" i="6"/>
  <c r="H133" i="6" s="1"/>
  <c r="I134" i="6" s="1"/>
  <c r="J134" i="6" s="1"/>
  <c r="E134" i="6"/>
  <c r="G157" i="6"/>
  <c r="E158" i="6"/>
  <c r="G109" i="6"/>
  <c r="H109" i="6" s="1"/>
  <c r="E110" i="6"/>
  <c r="H47" i="8"/>
  <c r="G47" i="8"/>
  <c r="F47" i="8" s="1"/>
  <c r="F81" i="8"/>
  <c r="H165" i="7"/>
  <c r="H166" i="8" s="1"/>
  <c r="G166" i="8"/>
  <c r="G107" i="7"/>
  <c r="E108" i="8"/>
  <c r="G82" i="7"/>
  <c r="G83" i="8" s="1"/>
  <c r="E83" i="8"/>
  <c r="F153" i="8"/>
  <c r="H141" i="7"/>
  <c r="H142" i="8" s="1"/>
  <c r="G142" i="8"/>
  <c r="I82" i="7"/>
  <c r="J82" i="7" s="1"/>
  <c r="I93" i="8"/>
  <c r="I22" i="8"/>
  <c r="C7" i="9" s="1"/>
  <c r="L18" i="7"/>
  <c r="L17" i="7"/>
  <c r="L19" i="7"/>
  <c r="L14" i="7"/>
  <c r="L10" i="7"/>
  <c r="L11" i="7"/>
  <c r="L16" i="7"/>
  <c r="L13" i="7"/>
  <c r="L8" i="7"/>
  <c r="L12" i="7"/>
  <c r="L9" i="7"/>
  <c r="L15" i="7"/>
  <c r="H57" i="7"/>
  <c r="H58" i="8" s="1"/>
  <c r="G58" i="8"/>
  <c r="F58" i="8" s="1"/>
  <c r="I105" i="7"/>
  <c r="J105" i="7" s="1"/>
  <c r="I57" i="8"/>
  <c r="H93" i="7"/>
  <c r="H94" i="8" s="1"/>
  <c r="G94" i="8"/>
  <c r="F94" i="8" s="1"/>
  <c r="H94" i="7"/>
  <c r="H95" i="8" s="1"/>
  <c r="G95" i="8"/>
  <c r="F95" i="8" s="1"/>
  <c r="I129" i="8"/>
  <c r="H153" i="7"/>
  <c r="G154" i="8"/>
  <c r="F154" i="8" s="1"/>
  <c r="F178" i="8"/>
  <c r="G106" i="7"/>
  <c r="E107" i="8"/>
  <c r="G118" i="7"/>
  <c r="E119" i="8"/>
  <c r="G178" i="7"/>
  <c r="E179" i="8"/>
  <c r="F59" i="8"/>
  <c r="G130" i="7"/>
  <c r="E131" i="8"/>
  <c r="G70" i="7"/>
  <c r="G71" i="8" s="1"/>
  <c r="E71" i="8"/>
  <c r="G154" i="7"/>
  <c r="E155" i="8"/>
  <c r="F117" i="8"/>
  <c r="H69" i="8"/>
  <c r="I69" i="7"/>
  <c r="J69" i="7" s="1"/>
  <c r="O127" i="3"/>
  <c r="K127" i="3"/>
  <c r="G116" i="3"/>
  <c r="I140" i="3"/>
  <c r="S140" i="3" s="1"/>
  <c r="Q127" i="3"/>
  <c r="S127" i="3"/>
  <c r="N127" i="3"/>
  <c r="F141" i="3"/>
  <c r="G141" i="3" s="1"/>
  <c r="E143" i="7"/>
  <c r="O139" i="3"/>
  <c r="H177" i="7"/>
  <c r="H178" i="8" s="1"/>
  <c r="I47" i="7"/>
  <c r="J47" i="7" s="1"/>
  <c r="H46" i="7"/>
  <c r="G142" i="7"/>
  <c r="G143" i="8" s="1"/>
  <c r="F143" i="8" s="1"/>
  <c r="I141" i="7"/>
  <c r="J141" i="7" s="1"/>
  <c r="F69" i="3"/>
  <c r="I69" i="3" s="1"/>
  <c r="I70" i="3" s="1"/>
  <c r="E71" i="7"/>
  <c r="E72" i="8" s="1"/>
  <c r="H129" i="7"/>
  <c r="H130" i="8" s="1"/>
  <c r="G166" i="7"/>
  <c r="G167" i="8" s="1"/>
  <c r="F167" i="8" s="1"/>
  <c r="H117" i="7"/>
  <c r="H118" i="8" s="1"/>
  <c r="F177" i="3"/>
  <c r="E179" i="7"/>
  <c r="E180" i="8" s="1"/>
  <c r="P139" i="3"/>
  <c r="F117" i="3"/>
  <c r="E119" i="7"/>
  <c r="E120" i="8" s="1"/>
  <c r="F165" i="3"/>
  <c r="G165" i="3" s="1"/>
  <c r="E167" i="7"/>
  <c r="F129" i="3"/>
  <c r="E131" i="7"/>
  <c r="E132" i="8" s="1"/>
  <c r="F93" i="3"/>
  <c r="G93" i="3" s="1"/>
  <c r="E95" i="7"/>
  <c r="F153" i="3"/>
  <c r="E155" i="7"/>
  <c r="I128" i="3"/>
  <c r="T128" i="3" s="1"/>
  <c r="Q139" i="3"/>
  <c r="S139" i="3"/>
  <c r="H33" i="7"/>
  <c r="I34" i="7"/>
  <c r="J34" i="7" s="1"/>
  <c r="H82" i="7"/>
  <c r="H83" i="8" s="1"/>
  <c r="F81" i="3"/>
  <c r="G81" i="3" s="1"/>
  <c r="E83" i="7"/>
  <c r="D70" i="3"/>
  <c r="N139" i="3"/>
  <c r="U139" i="3" s="1"/>
  <c r="H105" i="7"/>
  <c r="H106" i="8" s="1"/>
  <c r="H58" i="7"/>
  <c r="H59" i="8" s="1"/>
  <c r="H60" i="8" s="1"/>
  <c r="G59" i="7"/>
  <c r="I33" i="7"/>
  <c r="U91" i="3"/>
  <c r="K116" i="3"/>
  <c r="R116" i="3"/>
  <c r="N116" i="3"/>
  <c r="Q116" i="3"/>
  <c r="T116" i="3"/>
  <c r="P116" i="3"/>
  <c r="S116" i="3"/>
  <c r="O116" i="3"/>
  <c r="K164" i="3"/>
  <c r="S164" i="3"/>
  <c r="O164" i="3"/>
  <c r="R164" i="3"/>
  <c r="N164" i="3"/>
  <c r="Q164" i="3"/>
  <c r="P164" i="3"/>
  <c r="T164" i="3"/>
  <c r="K152" i="3"/>
  <c r="T152" i="3"/>
  <c r="P152" i="3"/>
  <c r="R152" i="3"/>
  <c r="N152" i="3"/>
  <c r="Q152" i="3"/>
  <c r="O152" i="3"/>
  <c r="S152" i="3"/>
  <c r="U115" i="3"/>
  <c r="U54" i="3"/>
  <c r="Q67" i="3"/>
  <c r="T67" i="3"/>
  <c r="P67" i="3"/>
  <c r="S67" i="3"/>
  <c r="O67" i="3"/>
  <c r="R67" i="3"/>
  <c r="N67" i="3"/>
  <c r="K104" i="3"/>
  <c r="T104" i="3"/>
  <c r="P104" i="3"/>
  <c r="S104" i="3"/>
  <c r="O104" i="3"/>
  <c r="R104" i="3"/>
  <c r="N104" i="3"/>
  <c r="Q104" i="3"/>
  <c r="K80" i="3"/>
  <c r="R80" i="3"/>
  <c r="N80" i="3"/>
  <c r="Q80" i="3"/>
  <c r="T80" i="3"/>
  <c r="P80" i="3"/>
  <c r="S80" i="3"/>
  <c r="O80" i="3"/>
  <c r="U175" i="3"/>
  <c r="U103" i="3"/>
  <c r="U151" i="3"/>
  <c r="S43" i="3"/>
  <c r="S44" i="3" s="1"/>
  <c r="O43" i="3"/>
  <c r="O44" i="3" s="1"/>
  <c r="R43" i="3"/>
  <c r="R44" i="3" s="1"/>
  <c r="N43" i="3"/>
  <c r="Q43" i="3"/>
  <c r="Q44" i="3" s="1"/>
  <c r="P43" i="3"/>
  <c r="P44" i="3" s="1"/>
  <c r="T43" i="3"/>
  <c r="T44" i="3" s="1"/>
  <c r="K176" i="3"/>
  <c r="R176" i="3"/>
  <c r="N176" i="3"/>
  <c r="Q176" i="3"/>
  <c r="T176" i="3"/>
  <c r="P176" i="3"/>
  <c r="S176" i="3"/>
  <c r="O176" i="3"/>
  <c r="Q79" i="3"/>
  <c r="T79" i="3"/>
  <c r="P79" i="3"/>
  <c r="S79" i="3"/>
  <c r="O79" i="3"/>
  <c r="R79" i="3"/>
  <c r="N79" i="3"/>
  <c r="P140" i="3"/>
  <c r="N140" i="3"/>
  <c r="K68" i="3"/>
  <c r="R68" i="3"/>
  <c r="N68" i="3"/>
  <c r="Q68" i="3"/>
  <c r="T68" i="3"/>
  <c r="P68" i="3"/>
  <c r="O68" i="3"/>
  <c r="S68" i="3"/>
  <c r="O128" i="3"/>
  <c r="U55" i="3"/>
  <c r="U163" i="3"/>
  <c r="C70" i="3"/>
  <c r="G69" i="3"/>
  <c r="G70" i="3" s="1"/>
  <c r="G129" i="3"/>
  <c r="I129" i="3"/>
  <c r="G92" i="3"/>
  <c r="I92" i="3"/>
  <c r="E94" i="3"/>
  <c r="C94" i="3"/>
  <c r="B95" i="3"/>
  <c r="B96" i="3" s="1"/>
  <c r="E70" i="3"/>
  <c r="E154" i="3"/>
  <c r="B155" i="3"/>
  <c r="C154" i="3"/>
  <c r="D154" i="3" s="1"/>
  <c r="K79" i="3"/>
  <c r="G117" i="3"/>
  <c r="I117" i="3"/>
  <c r="K43" i="3"/>
  <c r="K44" i="3" s="1"/>
  <c r="I44" i="3"/>
  <c r="E166" i="3"/>
  <c r="C166" i="3"/>
  <c r="D166" i="3" s="1"/>
  <c r="B167" i="3"/>
  <c r="E130" i="3"/>
  <c r="C130" i="3"/>
  <c r="D130" i="3" s="1"/>
  <c r="B131" i="3"/>
  <c r="E142" i="3"/>
  <c r="B143" i="3"/>
  <c r="C142" i="3"/>
  <c r="D142" i="3" s="1"/>
  <c r="I93" i="3"/>
  <c r="G153" i="3"/>
  <c r="I153" i="3"/>
  <c r="I177" i="3"/>
  <c r="G177" i="3"/>
  <c r="E118" i="3"/>
  <c r="E120" i="7" s="1"/>
  <c r="C118" i="3"/>
  <c r="D118" i="3" s="1"/>
  <c r="B119" i="3"/>
  <c r="I141" i="3"/>
  <c r="I81" i="3"/>
  <c r="D81" i="3"/>
  <c r="K67" i="3"/>
  <c r="E178" i="3"/>
  <c r="B179" i="3"/>
  <c r="C178" i="3"/>
  <c r="D178" i="3" s="1"/>
  <c r="E106" i="3"/>
  <c r="C106" i="3"/>
  <c r="B107" i="3"/>
  <c r="B83" i="3"/>
  <c r="C82" i="3"/>
  <c r="D82" i="3" s="1"/>
  <c r="E82" i="3"/>
  <c r="I56" i="3"/>
  <c r="G56" i="3"/>
  <c r="G57" i="3" s="1"/>
  <c r="F57" i="3"/>
  <c r="F105" i="3"/>
  <c r="H70" i="7" l="1"/>
  <c r="H71" i="8" s="1"/>
  <c r="J93" i="8"/>
  <c r="C29" i="9"/>
  <c r="H157" i="6"/>
  <c r="H169" i="6"/>
  <c r="G122" i="6"/>
  <c r="H122" i="6" s="1"/>
  <c r="E123" i="6"/>
  <c r="G110" i="6"/>
  <c r="E111" i="6"/>
  <c r="G134" i="6"/>
  <c r="H134" i="6" s="1"/>
  <c r="E135" i="6"/>
  <c r="G146" i="6"/>
  <c r="H146" i="6" s="1"/>
  <c r="I147" i="6" s="1"/>
  <c r="J147" i="6" s="1"/>
  <c r="E147" i="6"/>
  <c r="J129" i="8"/>
  <c r="C40" i="9"/>
  <c r="J73" i="6"/>
  <c r="I85" i="6"/>
  <c r="G182" i="6"/>
  <c r="H182" i="6" s="1"/>
  <c r="E183" i="6"/>
  <c r="J57" i="8"/>
  <c r="C18" i="9"/>
  <c r="G158" i="6"/>
  <c r="H158" i="6" s="1"/>
  <c r="E159" i="6"/>
  <c r="G170" i="6"/>
  <c r="H170" i="6" s="1"/>
  <c r="E171" i="6"/>
  <c r="N25" i="8"/>
  <c r="N25" i="6"/>
  <c r="I86" i="6"/>
  <c r="H85" i="6"/>
  <c r="H97" i="6"/>
  <c r="G98" i="6"/>
  <c r="G60" i="8"/>
  <c r="F60" i="8" s="1"/>
  <c r="I34" i="8"/>
  <c r="J22" i="8"/>
  <c r="G95" i="7"/>
  <c r="G96" i="8" s="1"/>
  <c r="E96" i="8"/>
  <c r="G167" i="7"/>
  <c r="E168" i="8"/>
  <c r="I59" i="7"/>
  <c r="L44" i="7"/>
  <c r="L43" i="7"/>
  <c r="L45" i="7"/>
  <c r="I48" i="8"/>
  <c r="C15" i="9" s="1"/>
  <c r="L42" i="7"/>
  <c r="L34" i="7"/>
  <c r="L35" i="7"/>
  <c r="L41" i="7"/>
  <c r="L37" i="7"/>
  <c r="L40" i="7"/>
  <c r="L36" i="7"/>
  <c r="L39" i="7"/>
  <c r="L38" i="7"/>
  <c r="H154" i="7"/>
  <c r="H155" i="8" s="1"/>
  <c r="G155" i="8"/>
  <c r="H130" i="7"/>
  <c r="H131" i="8" s="1"/>
  <c r="G131" i="8"/>
  <c r="H178" i="7"/>
  <c r="H179" i="8" s="1"/>
  <c r="G179" i="8"/>
  <c r="C16" i="7"/>
  <c r="I46" i="7"/>
  <c r="I35" i="8"/>
  <c r="C11" i="9" s="1"/>
  <c r="L30" i="7"/>
  <c r="L32" i="7"/>
  <c r="L31" i="7"/>
  <c r="L21" i="7"/>
  <c r="L24" i="7"/>
  <c r="L29" i="7"/>
  <c r="L26" i="7"/>
  <c r="L23" i="7"/>
  <c r="L28" i="7"/>
  <c r="L25" i="7"/>
  <c r="L27" i="7"/>
  <c r="L22" i="7"/>
  <c r="I142" i="8"/>
  <c r="C17" i="7"/>
  <c r="F83" i="8"/>
  <c r="G83" i="7"/>
  <c r="E84" i="8"/>
  <c r="G155" i="7"/>
  <c r="E156" i="8"/>
  <c r="I70" i="8"/>
  <c r="F71" i="8"/>
  <c r="H118" i="7"/>
  <c r="H119" i="8" s="1"/>
  <c r="G119" i="8"/>
  <c r="C13" i="7"/>
  <c r="C12" i="7"/>
  <c r="C18" i="7"/>
  <c r="H106" i="7"/>
  <c r="H107" i="8" s="1"/>
  <c r="G107" i="8"/>
  <c r="F107" i="8" s="1"/>
  <c r="H154" i="8"/>
  <c r="I154" i="7"/>
  <c r="J154" i="7" s="1"/>
  <c r="I106" i="8"/>
  <c r="C14" i="7"/>
  <c r="C15" i="7"/>
  <c r="F166" i="8"/>
  <c r="C10" i="7"/>
  <c r="C21" i="7"/>
  <c r="I95" i="7"/>
  <c r="J95" i="7" s="1"/>
  <c r="I83" i="8"/>
  <c r="G120" i="7"/>
  <c r="E121" i="8"/>
  <c r="E73" i="8"/>
  <c r="G143" i="7"/>
  <c r="E144" i="8"/>
  <c r="C9" i="7"/>
  <c r="C11" i="7"/>
  <c r="C19" i="7"/>
  <c r="F142" i="8"/>
  <c r="H107" i="7"/>
  <c r="H108" i="8" s="1"/>
  <c r="G108" i="8"/>
  <c r="F108" i="8" s="1"/>
  <c r="U127" i="3"/>
  <c r="T140" i="3"/>
  <c r="Q128" i="3"/>
  <c r="O140" i="3"/>
  <c r="K140" i="3"/>
  <c r="R140" i="3"/>
  <c r="F70" i="3"/>
  <c r="Q140" i="3"/>
  <c r="K128" i="3"/>
  <c r="G131" i="7"/>
  <c r="G132" i="8" s="1"/>
  <c r="F132" i="8" s="1"/>
  <c r="G119" i="7"/>
  <c r="G120" i="8" s="1"/>
  <c r="F120" i="8" s="1"/>
  <c r="I118" i="7"/>
  <c r="J118" i="7" s="1"/>
  <c r="H59" i="7"/>
  <c r="I60" i="7"/>
  <c r="J60" i="7" s="1"/>
  <c r="S128" i="3"/>
  <c r="I165" i="3"/>
  <c r="T165" i="3" s="1"/>
  <c r="F106" i="3"/>
  <c r="G106" i="3" s="1"/>
  <c r="E108" i="7"/>
  <c r="F178" i="3"/>
  <c r="G178" i="3" s="1"/>
  <c r="E180" i="7"/>
  <c r="F166" i="3"/>
  <c r="G166" i="3" s="1"/>
  <c r="E168" i="7"/>
  <c r="F154" i="3"/>
  <c r="G154" i="3" s="1"/>
  <c r="E156" i="7"/>
  <c r="N128" i="3"/>
  <c r="P128" i="3"/>
  <c r="G71" i="7"/>
  <c r="G72" i="8" s="1"/>
  <c r="E72" i="7"/>
  <c r="F142" i="3"/>
  <c r="I142" i="3" s="1"/>
  <c r="E144" i="7"/>
  <c r="G179" i="7"/>
  <c r="G180" i="8" s="1"/>
  <c r="F180" i="8" s="1"/>
  <c r="F82" i="3"/>
  <c r="F83" i="3" s="1"/>
  <c r="E84" i="7"/>
  <c r="E85" i="8" s="1"/>
  <c r="C83" i="3"/>
  <c r="F130" i="3"/>
  <c r="I130" i="3" s="1"/>
  <c r="E132" i="7"/>
  <c r="F94" i="3"/>
  <c r="G94" i="3" s="1"/>
  <c r="E96" i="7"/>
  <c r="R128" i="3"/>
  <c r="U128" i="3" s="1"/>
  <c r="N33" i="7"/>
  <c r="H166" i="7"/>
  <c r="H167" i="8" s="1"/>
  <c r="H142" i="7"/>
  <c r="H143" i="8" s="1"/>
  <c r="U164" i="3"/>
  <c r="K93" i="3"/>
  <c r="R93" i="3"/>
  <c r="N93" i="3"/>
  <c r="Q93" i="3"/>
  <c r="T93" i="3"/>
  <c r="P93" i="3"/>
  <c r="S93" i="3"/>
  <c r="O93" i="3"/>
  <c r="Q92" i="3"/>
  <c r="T92" i="3"/>
  <c r="P92" i="3"/>
  <c r="S92" i="3"/>
  <c r="O92" i="3"/>
  <c r="N92" i="3"/>
  <c r="R92" i="3"/>
  <c r="K69" i="3"/>
  <c r="K70" i="3" s="1"/>
  <c r="S69" i="3"/>
  <c r="S70" i="3" s="1"/>
  <c r="O69" i="3"/>
  <c r="O70" i="3" s="1"/>
  <c r="R69" i="3"/>
  <c r="R70" i="3" s="1"/>
  <c r="N69" i="3"/>
  <c r="Q69" i="3"/>
  <c r="Q70" i="3" s="1"/>
  <c r="T69" i="3"/>
  <c r="T70" i="3" s="1"/>
  <c r="P69" i="3"/>
  <c r="P70" i="3" s="1"/>
  <c r="U79" i="3"/>
  <c r="U176" i="3"/>
  <c r="U152" i="3"/>
  <c r="K177" i="3"/>
  <c r="S177" i="3"/>
  <c r="O177" i="3"/>
  <c r="R177" i="3"/>
  <c r="N177" i="3"/>
  <c r="Q177" i="3"/>
  <c r="T177" i="3"/>
  <c r="P177" i="3"/>
  <c r="U68" i="3"/>
  <c r="U140" i="3"/>
  <c r="U116" i="3"/>
  <c r="K141" i="3"/>
  <c r="Q141" i="3"/>
  <c r="T141" i="3"/>
  <c r="P141" i="3"/>
  <c r="S141" i="3"/>
  <c r="O141" i="3"/>
  <c r="R141" i="3"/>
  <c r="N141" i="3"/>
  <c r="S56" i="3"/>
  <c r="S57" i="3" s="1"/>
  <c r="O56" i="3"/>
  <c r="O57" i="3" s="1"/>
  <c r="R56" i="3"/>
  <c r="R57" i="3" s="1"/>
  <c r="N56" i="3"/>
  <c r="Q56" i="3"/>
  <c r="Q57" i="3" s="1"/>
  <c r="T56" i="3"/>
  <c r="T57" i="3" s="1"/>
  <c r="P56" i="3"/>
  <c r="P57" i="3" s="1"/>
  <c r="K117" i="3"/>
  <c r="S117" i="3"/>
  <c r="O117" i="3"/>
  <c r="R117" i="3"/>
  <c r="N117" i="3"/>
  <c r="Q117" i="3"/>
  <c r="T117" i="3"/>
  <c r="P117" i="3"/>
  <c r="K165" i="3"/>
  <c r="O165" i="3"/>
  <c r="K81" i="3"/>
  <c r="S81" i="3"/>
  <c r="O81" i="3"/>
  <c r="R81" i="3"/>
  <c r="N81" i="3"/>
  <c r="Q81" i="3"/>
  <c r="T81" i="3"/>
  <c r="P81" i="3"/>
  <c r="K153" i="3"/>
  <c r="Q153" i="3"/>
  <c r="S153" i="3"/>
  <c r="O153" i="3"/>
  <c r="R153" i="3"/>
  <c r="P153" i="3"/>
  <c r="N153" i="3"/>
  <c r="T153" i="3"/>
  <c r="K129" i="3"/>
  <c r="R129" i="3"/>
  <c r="N129" i="3"/>
  <c r="Q129" i="3"/>
  <c r="T129" i="3"/>
  <c r="P129" i="3"/>
  <c r="O129" i="3"/>
  <c r="S129" i="3"/>
  <c r="U43" i="3"/>
  <c r="U44" i="3" s="1"/>
  <c r="N44" i="3"/>
  <c r="U80" i="3"/>
  <c r="U104" i="3"/>
  <c r="U67" i="3"/>
  <c r="G82" i="3"/>
  <c r="G83" i="3" s="1"/>
  <c r="D106" i="3"/>
  <c r="F118" i="3"/>
  <c r="G130" i="3"/>
  <c r="E179" i="3"/>
  <c r="C179" i="3"/>
  <c r="D179" i="3" s="1"/>
  <c r="B180" i="3"/>
  <c r="D83" i="3"/>
  <c r="G142" i="3"/>
  <c r="E167" i="3"/>
  <c r="C167" i="3"/>
  <c r="D167" i="3" s="1"/>
  <c r="B168" i="3"/>
  <c r="I154" i="3"/>
  <c r="C95" i="3"/>
  <c r="E95" i="3"/>
  <c r="E97" i="7" s="1"/>
  <c r="E98" i="8" s="1"/>
  <c r="K92" i="3"/>
  <c r="G105" i="3"/>
  <c r="I105" i="3"/>
  <c r="E107" i="3"/>
  <c r="C107" i="3"/>
  <c r="B108" i="3"/>
  <c r="B109" i="3" s="1"/>
  <c r="I166" i="3"/>
  <c r="E143" i="3"/>
  <c r="B144" i="3"/>
  <c r="C143" i="3"/>
  <c r="D143" i="3" s="1"/>
  <c r="E155" i="3"/>
  <c r="B156" i="3"/>
  <c r="C155" i="3"/>
  <c r="D155" i="3" s="1"/>
  <c r="K56" i="3"/>
  <c r="K57" i="3" s="1"/>
  <c r="I57" i="3"/>
  <c r="E83" i="3"/>
  <c r="I178" i="3"/>
  <c r="E119" i="3"/>
  <c r="C119" i="3"/>
  <c r="D119" i="3" s="1"/>
  <c r="B120" i="3"/>
  <c r="E131" i="3"/>
  <c r="C131" i="3"/>
  <c r="B132" i="3"/>
  <c r="I94" i="3"/>
  <c r="D94" i="3"/>
  <c r="I108" i="7" l="1"/>
  <c r="J108" i="7" s="1"/>
  <c r="H95" i="7"/>
  <c r="H96" i="8" s="1"/>
  <c r="J83" i="8"/>
  <c r="C26" i="9"/>
  <c r="G159" i="6"/>
  <c r="H159" i="6" s="1"/>
  <c r="I160" i="6" s="1"/>
  <c r="J160" i="6" s="1"/>
  <c r="E160" i="6"/>
  <c r="G183" i="6"/>
  <c r="E184" i="6"/>
  <c r="G135" i="6"/>
  <c r="H135" i="6" s="1"/>
  <c r="E136" i="6"/>
  <c r="G123" i="6"/>
  <c r="E124" i="6"/>
  <c r="J70" i="8"/>
  <c r="C22" i="9"/>
  <c r="J142" i="8"/>
  <c r="C44" i="9"/>
  <c r="G171" i="6"/>
  <c r="H171" i="6" s="1"/>
  <c r="E172" i="6"/>
  <c r="I183" i="6"/>
  <c r="J183" i="6" s="1"/>
  <c r="I99" i="6"/>
  <c r="H98" i="6"/>
  <c r="J86" i="6"/>
  <c r="I98" i="6"/>
  <c r="G147" i="6"/>
  <c r="H147" i="6" s="1"/>
  <c r="E148" i="6"/>
  <c r="J106" i="8"/>
  <c r="C33" i="9"/>
  <c r="N26" i="8"/>
  <c r="N26" i="6"/>
  <c r="H110" i="6"/>
  <c r="G111" i="6"/>
  <c r="I170" i="6"/>
  <c r="J170" i="6" s="1"/>
  <c r="I60" i="8"/>
  <c r="J48" i="8"/>
  <c r="I47" i="8"/>
  <c r="J35" i="8"/>
  <c r="G96" i="7"/>
  <c r="E97" i="8"/>
  <c r="E99" i="8" s="1"/>
  <c r="I109" i="8"/>
  <c r="I119" i="8"/>
  <c r="H120" i="7"/>
  <c r="H121" i="8" s="1"/>
  <c r="G121" i="8"/>
  <c r="F121" i="8" s="1"/>
  <c r="C30" i="7"/>
  <c r="F131" i="8"/>
  <c r="G144" i="7"/>
  <c r="E145" i="8"/>
  <c r="C26" i="7"/>
  <c r="C34" i="7"/>
  <c r="C39" i="7"/>
  <c r="C38" i="7"/>
  <c r="C43" i="7"/>
  <c r="C45" i="7"/>
  <c r="E86" i="8"/>
  <c r="G168" i="7"/>
  <c r="E169" i="8"/>
  <c r="G108" i="7"/>
  <c r="G109" i="8" s="1"/>
  <c r="E109" i="8"/>
  <c r="I72" i="7"/>
  <c r="I61" i="8"/>
  <c r="C19" i="9" s="1"/>
  <c r="L56" i="7"/>
  <c r="L58" i="7"/>
  <c r="L57" i="7"/>
  <c r="L51" i="7"/>
  <c r="L47" i="7"/>
  <c r="L53" i="7"/>
  <c r="L49" i="7"/>
  <c r="L50" i="7"/>
  <c r="L55" i="7"/>
  <c r="L48" i="7"/>
  <c r="L52" i="7"/>
  <c r="L54" i="7"/>
  <c r="H143" i="7"/>
  <c r="H144" i="8" s="1"/>
  <c r="G144" i="8"/>
  <c r="C33" i="7"/>
  <c r="F119" i="8"/>
  <c r="H83" i="7"/>
  <c r="H84" i="8" s="1"/>
  <c r="G84" i="8"/>
  <c r="F84" i="8" s="1"/>
  <c r="C29" i="7"/>
  <c r="C25" i="7"/>
  <c r="C31" i="7"/>
  <c r="C40" i="7"/>
  <c r="C42" i="7"/>
  <c r="F96" i="8"/>
  <c r="G132" i="7"/>
  <c r="E133" i="8"/>
  <c r="C23" i="7"/>
  <c r="C24" i="7"/>
  <c r="C22" i="7"/>
  <c r="F179" i="8"/>
  <c r="F155" i="8"/>
  <c r="C37" i="7"/>
  <c r="C36" i="7"/>
  <c r="C47" i="7"/>
  <c r="F72" i="8"/>
  <c r="G73" i="8"/>
  <c r="F73" i="8" s="1"/>
  <c r="G156" i="7"/>
  <c r="G157" i="8" s="1"/>
  <c r="E157" i="8"/>
  <c r="G180" i="7"/>
  <c r="E181" i="8"/>
  <c r="I131" i="7"/>
  <c r="J131" i="7" s="1"/>
  <c r="I96" i="8"/>
  <c r="I155" i="8"/>
  <c r="H155" i="7"/>
  <c r="H156" i="8" s="1"/>
  <c r="G156" i="8"/>
  <c r="F156" i="8" s="1"/>
  <c r="C28" i="7"/>
  <c r="C27" i="7"/>
  <c r="C32" i="7"/>
  <c r="C41" i="7"/>
  <c r="C35" i="7"/>
  <c r="C44" i="7"/>
  <c r="H167" i="7"/>
  <c r="H168" i="8" s="1"/>
  <c r="G168" i="8"/>
  <c r="Q165" i="3"/>
  <c r="N165" i="3"/>
  <c r="P165" i="3"/>
  <c r="S165" i="3"/>
  <c r="R165" i="3"/>
  <c r="F155" i="3"/>
  <c r="E157" i="7"/>
  <c r="F107" i="3"/>
  <c r="G107" i="3" s="1"/>
  <c r="E109" i="7"/>
  <c r="F179" i="3"/>
  <c r="E181" i="7"/>
  <c r="E182" i="8" s="1"/>
  <c r="I106" i="3"/>
  <c r="K106" i="3" s="1"/>
  <c r="I82" i="3"/>
  <c r="O82" i="3" s="1"/>
  <c r="O83" i="3" s="1"/>
  <c r="F167" i="3"/>
  <c r="E169" i="7"/>
  <c r="E170" i="8" s="1"/>
  <c r="I167" i="7"/>
  <c r="J167" i="7" s="1"/>
  <c r="H179" i="7"/>
  <c r="H180" i="8" s="1"/>
  <c r="H119" i="7"/>
  <c r="H120" i="8" s="1"/>
  <c r="F119" i="3"/>
  <c r="G119" i="3" s="1"/>
  <c r="E121" i="7"/>
  <c r="G97" i="7"/>
  <c r="G98" i="8" s="1"/>
  <c r="F98" i="8" s="1"/>
  <c r="E98" i="7"/>
  <c r="H131" i="7"/>
  <c r="H132" i="8" s="1"/>
  <c r="F131" i="3"/>
  <c r="E133" i="7"/>
  <c r="F143" i="3"/>
  <c r="I143" i="3" s="1"/>
  <c r="E145" i="7"/>
  <c r="E146" i="8" s="1"/>
  <c r="N46" i="7"/>
  <c r="G84" i="7"/>
  <c r="G85" i="8" s="1"/>
  <c r="E85" i="7"/>
  <c r="H71" i="7"/>
  <c r="H72" i="8" s="1"/>
  <c r="H73" i="8" s="1"/>
  <c r="G72" i="7"/>
  <c r="H108" i="7"/>
  <c r="H109" i="8" s="1"/>
  <c r="U129" i="3"/>
  <c r="U153" i="3"/>
  <c r="Q106" i="3"/>
  <c r="O106" i="3"/>
  <c r="S82" i="3"/>
  <c r="S83" i="3" s="1"/>
  <c r="Q82" i="3"/>
  <c r="Q83" i="3" s="1"/>
  <c r="U177" i="3"/>
  <c r="U93" i="3"/>
  <c r="U81" i="3"/>
  <c r="U117" i="3"/>
  <c r="U56" i="3"/>
  <c r="U57" i="3" s="1"/>
  <c r="N57" i="3"/>
  <c r="U141" i="3"/>
  <c r="U92" i="3"/>
  <c r="K94" i="3"/>
  <c r="S94" i="3"/>
  <c r="O94" i="3"/>
  <c r="R94" i="3"/>
  <c r="N94" i="3"/>
  <c r="Q94" i="3"/>
  <c r="P94" i="3"/>
  <c r="T94" i="3"/>
  <c r="Q105" i="3"/>
  <c r="T105" i="3"/>
  <c r="P105" i="3"/>
  <c r="S105" i="3"/>
  <c r="O105" i="3"/>
  <c r="N105" i="3"/>
  <c r="R105" i="3"/>
  <c r="U69" i="3"/>
  <c r="U70" i="3" s="1"/>
  <c r="N70" i="3"/>
  <c r="K154" i="3"/>
  <c r="R154" i="3"/>
  <c r="N154" i="3"/>
  <c r="T154" i="3"/>
  <c r="P154" i="3"/>
  <c r="S154" i="3"/>
  <c r="Q154" i="3"/>
  <c r="O154" i="3"/>
  <c r="K178" i="3"/>
  <c r="T178" i="3"/>
  <c r="P178" i="3"/>
  <c r="S178" i="3"/>
  <c r="O178" i="3"/>
  <c r="R178" i="3"/>
  <c r="N178" i="3"/>
  <c r="Q178" i="3"/>
  <c r="K166" i="3"/>
  <c r="Q166" i="3"/>
  <c r="T166" i="3"/>
  <c r="P166" i="3"/>
  <c r="S166" i="3"/>
  <c r="O166" i="3"/>
  <c r="R166" i="3"/>
  <c r="N166" i="3"/>
  <c r="K142" i="3"/>
  <c r="R142" i="3"/>
  <c r="N142" i="3"/>
  <c r="Q142" i="3"/>
  <c r="T142" i="3"/>
  <c r="P142" i="3"/>
  <c r="S142" i="3"/>
  <c r="O142" i="3"/>
  <c r="K130" i="3"/>
  <c r="S130" i="3"/>
  <c r="O130" i="3"/>
  <c r="R130" i="3"/>
  <c r="N130" i="3"/>
  <c r="Q130" i="3"/>
  <c r="T130" i="3"/>
  <c r="P130" i="3"/>
  <c r="G155" i="3"/>
  <c r="I155" i="3"/>
  <c r="C96" i="3"/>
  <c r="D95" i="3"/>
  <c r="D96" i="3" s="1"/>
  <c r="G131" i="3"/>
  <c r="I131" i="3"/>
  <c r="G167" i="3"/>
  <c r="I167" i="3"/>
  <c r="E180" i="3"/>
  <c r="B181" i="3"/>
  <c r="C180" i="3"/>
  <c r="D180" i="3" s="1"/>
  <c r="E120" i="3"/>
  <c r="B121" i="3"/>
  <c r="B122" i="3" s="1"/>
  <c r="C120" i="3"/>
  <c r="E144" i="3"/>
  <c r="E146" i="7" s="1"/>
  <c r="B145" i="3"/>
  <c r="C144" i="3"/>
  <c r="C108" i="3"/>
  <c r="D108" i="3" s="1"/>
  <c r="E108" i="3"/>
  <c r="K105" i="3"/>
  <c r="G118" i="3"/>
  <c r="I118" i="3"/>
  <c r="D131" i="3"/>
  <c r="E132" i="3"/>
  <c r="E134" i="7" s="1"/>
  <c r="C132" i="3"/>
  <c r="D132" i="3" s="1"/>
  <c r="B133" i="3"/>
  <c r="E156" i="3"/>
  <c r="B157" i="3"/>
  <c r="C156" i="3"/>
  <c r="I107" i="3"/>
  <c r="D107" i="3"/>
  <c r="F95" i="3"/>
  <c r="E96" i="3"/>
  <c r="E168" i="3"/>
  <c r="B169" i="3"/>
  <c r="C168" i="3"/>
  <c r="D168" i="3" s="1"/>
  <c r="G179" i="3"/>
  <c r="I179" i="3"/>
  <c r="K82" i="3"/>
  <c r="K83" i="3" s="1"/>
  <c r="J96" i="8" l="1"/>
  <c r="C30" i="9"/>
  <c r="J119" i="8"/>
  <c r="C37" i="9"/>
  <c r="N27" i="6"/>
  <c r="N27" i="8"/>
  <c r="G172" i="6"/>
  <c r="H172" i="6" s="1"/>
  <c r="E173" i="6"/>
  <c r="G136" i="6"/>
  <c r="E137" i="6"/>
  <c r="G160" i="6"/>
  <c r="H160" i="6" s="1"/>
  <c r="E161" i="6"/>
  <c r="J155" i="8"/>
  <c r="C48" i="9"/>
  <c r="J109" i="8"/>
  <c r="C34" i="9"/>
  <c r="G148" i="6"/>
  <c r="H148" i="6" s="1"/>
  <c r="E149" i="6"/>
  <c r="G184" i="6"/>
  <c r="H184" i="6" s="1"/>
  <c r="E185" i="6"/>
  <c r="U165" i="3"/>
  <c r="I112" i="6"/>
  <c r="H111" i="6"/>
  <c r="J99" i="6"/>
  <c r="I111" i="6"/>
  <c r="H123" i="6"/>
  <c r="G124" i="6"/>
  <c r="H183" i="6"/>
  <c r="F157" i="8"/>
  <c r="I73" i="8"/>
  <c r="J61" i="8"/>
  <c r="G146" i="7"/>
  <c r="E147" i="8"/>
  <c r="G121" i="7"/>
  <c r="E122" i="8"/>
  <c r="G109" i="7"/>
  <c r="E110" i="8"/>
  <c r="C50" i="7"/>
  <c r="H144" i="7"/>
  <c r="H145" i="8" s="1"/>
  <c r="G145" i="8"/>
  <c r="F145" i="8" s="1"/>
  <c r="I144" i="7"/>
  <c r="J144" i="7" s="1"/>
  <c r="C49" i="7"/>
  <c r="C60" i="7"/>
  <c r="F85" i="8"/>
  <c r="G86" i="8"/>
  <c r="F86" i="8" s="1"/>
  <c r="G133" i="7"/>
  <c r="E134" i="8"/>
  <c r="G157" i="7"/>
  <c r="E158" i="8"/>
  <c r="H180" i="7"/>
  <c r="H181" i="8" s="1"/>
  <c r="G181" i="8"/>
  <c r="C56" i="7"/>
  <c r="C48" i="7"/>
  <c r="C57" i="7"/>
  <c r="F109" i="8"/>
  <c r="I168" i="8"/>
  <c r="I132" i="8"/>
  <c r="H132" i="7"/>
  <c r="H133" i="8" s="1"/>
  <c r="G133" i="8"/>
  <c r="C53" i="7"/>
  <c r="C58" i="7"/>
  <c r="H168" i="7"/>
  <c r="H169" i="8" s="1"/>
  <c r="G169" i="8"/>
  <c r="F169" i="8" s="1"/>
  <c r="F168" i="8"/>
  <c r="C59" i="7"/>
  <c r="C54" i="7"/>
  <c r="H96" i="7"/>
  <c r="H97" i="8" s="1"/>
  <c r="G97" i="8"/>
  <c r="G134" i="7"/>
  <c r="E135" i="8"/>
  <c r="H156" i="7"/>
  <c r="F144" i="8"/>
  <c r="C55" i="7"/>
  <c r="C51" i="7"/>
  <c r="C52" i="7"/>
  <c r="C46" i="7"/>
  <c r="S106" i="3"/>
  <c r="N106" i="3"/>
  <c r="I119" i="3"/>
  <c r="K119" i="3" s="1"/>
  <c r="P106" i="3"/>
  <c r="R106" i="3"/>
  <c r="T106" i="3"/>
  <c r="H97" i="7"/>
  <c r="H98" i="8" s="1"/>
  <c r="G98" i="7"/>
  <c r="G143" i="3"/>
  <c r="F156" i="3"/>
  <c r="E158" i="7"/>
  <c r="F108" i="3"/>
  <c r="F109" i="3" s="1"/>
  <c r="E110" i="7"/>
  <c r="E111" i="8" s="1"/>
  <c r="E112" i="8" s="1"/>
  <c r="N82" i="3"/>
  <c r="P82" i="3"/>
  <c r="P83" i="3" s="1"/>
  <c r="G169" i="7"/>
  <c r="G170" i="8" s="1"/>
  <c r="F170" i="8" s="1"/>
  <c r="F120" i="3"/>
  <c r="G120" i="3" s="1"/>
  <c r="E122" i="7"/>
  <c r="H84" i="7"/>
  <c r="H85" i="8" s="1"/>
  <c r="H86" i="8" s="1"/>
  <c r="G85" i="7"/>
  <c r="I121" i="7"/>
  <c r="J121" i="7" s="1"/>
  <c r="I83" i="3"/>
  <c r="R82" i="3"/>
  <c r="R83" i="3" s="1"/>
  <c r="T82" i="3"/>
  <c r="T83" i="3" s="1"/>
  <c r="H72" i="7"/>
  <c r="I73" i="7"/>
  <c r="J73" i="7" s="1"/>
  <c r="N59" i="7"/>
  <c r="I180" i="7"/>
  <c r="J180" i="7" s="1"/>
  <c r="G181" i="7"/>
  <c r="G182" i="8" s="1"/>
  <c r="F182" i="8" s="1"/>
  <c r="F168" i="3"/>
  <c r="I168" i="3" s="1"/>
  <c r="E170" i="7"/>
  <c r="F180" i="3"/>
  <c r="E182" i="7"/>
  <c r="G145" i="7"/>
  <c r="G146" i="8" s="1"/>
  <c r="F146" i="8" s="1"/>
  <c r="U105" i="3"/>
  <c r="N83" i="3"/>
  <c r="U130" i="3"/>
  <c r="U94" i="3"/>
  <c r="K143" i="3"/>
  <c r="S143" i="3"/>
  <c r="O143" i="3"/>
  <c r="R143" i="3"/>
  <c r="N143" i="3"/>
  <c r="Q143" i="3"/>
  <c r="T143" i="3"/>
  <c r="P143" i="3"/>
  <c r="K155" i="3"/>
  <c r="S155" i="3"/>
  <c r="O155" i="3"/>
  <c r="Q155" i="3"/>
  <c r="T155" i="3"/>
  <c r="R155" i="3"/>
  <c r="P155" i="3"/>
  <c r="N155" i="3"/>
  <c r="K179" i="3"/>
  <c r="Q179" i="3"/>
  <c r="T179" i="3"/>
  <c r="P179" i="3"/>
  <c r="S179" i="3"/>
  <c r="O179" i="3"/>
  <c r="N179" i="3"/>
  <c r="R179" i="3"/>
  <c r="U166" i="3"/>
  <c r="T118" i="3"/>
  <c r="P118" i="3"/>
  <c r="S118" i="3"/>
  <c r="O118" i="3"/>
  <c r="R118" i="3"/>
  <c r="N118" i="3"/>
  <c r="Q118" i="3"/>
  <c r="T131" i="3"/>
  <c r="P131" i="3"/>
  <c r="S131" i="3"/>
  <c r="O131" i="3"/>
  <c r="R131" i="3"/>
  <c r="N131" i="3"/>
  <c r="Q131" i="3"/>
  <c r="K107" i="3"/>
  <c r="S107" i="3"/>
  <c r="O107" i="3"/>
  <c r="R107" i="3"/>
  <c r="N107" i="3"/>
  <c r="Q107" i="3"/>
  <c r="T107" i="3"/>
  <c r="P107" i="3"/>
  <c r="K167" i="3"/>
  <c r="R167" i="3"/>
  <c r="N167" i="3"/>
  <c r="Q167" i="3"/>
  <c r="T167" i="3"/>
  <c r="P167" i="3"/>
  <c r="S167" i="3"/>
  <c r="O167" i="3"/>
  <c r="T119" i="3"/>
  <c r="P119" i="3"/>
  <c r="N119" i="3"/>
  <c r="R119" i="3"/>
  <c r="U142" i="3"/>
  <c r="U178" i="3"/>
  <c r="U154" i="3"/>
  <c r="U106" i="3"/>
  <c r="D109" i="3"/>
  <c r="E157" i="3"/>
  <c r="E159" i="7" s="1"/>
  <c r="B158" i="3"/>
  <c r="C157" i="3"/>
  <c r="D157" i="3" s="1"/>
  <c r="G156" i="3"/>
  <c r="I156" i="3"/>
  <c r="I120" i="3"/>
  <c r="D120" i="3"/>
  <c r="G95" i="3"/>
  <c r="G96" i="3" s="1"/>
  <c r="I95" i="3"/>
  <c r="F96" i="3"/>
  <c r="E109" i="3"/>
  <c r="E145" i="3"/>
  <c r="C145" i="3"/>
  <c r="D145" i="3" s="1"/>
  <c r="B146" i="3"/>
  <c r="E121" i="3"/>
  <c r="E123" i="7" s="1"/>
  <c r="E124" i="8" s="1"/>
  <c r="C121" i="3"/>
  <c r="E181" i="3"/>
  <c r="B182" i="3"/>
  <c r="C181" i="3"/>
  <c r="D181" i="3" s="1"/>
  <c r="K131" i="3"/>
  <c r="F132" i="3"/>
  <c r="D144" i="3"/>
  <c r="C109" i="3"/>
  <c r="E169" i="3"/>
  <c r="C169" i="3"/>
  <c r="B170" i="3"/>
  <c r="D156" i="3"/>
  <c r="E133" i="3"/>
  <c r="B134" i="3"/>
  <c r="B135" i="3" s="1"/>
  <c r="C133" i="3"/>
  <c r="K118" i="3"/>
  <c r="F144" i="3"/>
  <c r="G180" i="3"/>
  <c r="I180" i="3"/>
  <c r="J168" i="8" l="1"/>
  <c r="C52" i="9"/>
  <c r="I125" i="6"/>
  <c r="H124" i="6"/>
  <c r="J112" i="6"/>
  <c r="I124" i="6"/>
  <c r="G149" i="6"/>
  <c r="E150" i="6"/>
  <c r="J132" i="8"/>
  <c r="C41" i="9"/>
  <c r="H136" i="6"/>
  <c r="G137" i="6"/>
  <c r="N28" i="8"/>
  <c r="N28" i="6"/>
  <c r="G185" i="6"/>
  <c r="H185" i="6" s="1"/>
  <c r="I186" i="6" s="1"/>
  <c r="J186" i="6" s="1"/>
  <c r="E186" i="6"/>
  <c r="G161" i="6"/>
  <c r="H161" i="6" s="1"/>
  <c r="E162" i="6"/>
  <c r="G173" i="6"/>
  <c r="H173" i="6" s="1"/>
  <c r="E174" i="6"/>
  <c r="I173" i="6"/>
  <c r="J173" i="6" s="1"/>
  <c r="H99" i="8"/>
  <c r="I85" i="7"/>
  <c r="I74" i="8"/>
  <c r="C23" i="9" s="1"/>
  <c r="L69" i="7"/>
  <c r="L71" i="7"/>
  <c r="L70" i="7"/>
  <c r="L67" i="7"/>
  <c r="L62" i="7"/>
  <c r="L66" i="7"/>
  <c r="L63" i="7"/>
  <c r="L65" i="7"/>
  <c r="L61" i="7"/>
  <c r="L60" i="7"/>
  <c r="L68" i="7"/>
  <c r="L64" i="7"/>
  <c r="H134" i="7"/>
  <c r="H135" i="8" s="1"/>
  <c r="G135" i="8"/>
  <c r="F135" i="8" s="1"/>
  <c r="I145" i="8"/>
  <c r="G122" i="7"/>
  <c r="E123" i="8"/>
  <c r="E125" i="8" s="1"/>
  <c r="I157" i="7"/>
  <c r="J157" i="7" s="1"/>
  <c r="H157" i="8"/>
  <c r="F97" i="8"/>
  <c r="G99" i="8"/>
  <c r="F99" i="8" s="1"/>
  <c r="H133" i="7"/>
  <c r="G134" i="8"/>
  <c r="F134" i="8" s="1"/>
  <c r="H121" i="7"/>
  <c r="H122" i="8" s="1"/>
  <c r="G122" i="8"/>
  <c r="F122" i="8" s="1"/>
  <c r="I181" i="8"/>
  <c r="F133" i="8"/>
  <c r="F181" i="8"/>
  <c r="G158" i="7"/>
  <c r="G159" i="8" s="1"/>
  <c r="E159" i="8"/>
  <c r="G182" i="7"/>
  <c r="E183" i="8"/>
  <c r="I122" i="8"/>
  <c r="G159" i="7"/>
  <c r="E160" i="8"/>
  <c r="G170" i="7"/>
  <c r="E171" i="8"/>
  <c r="H157" i="7"/>
  <c r="H158" i="8" s="1"/>
  <c r="G158" i="8"/>
  <c r="C72" i="7"/>
  <c r="H109" i="7"/>
  <c r="H110" i="8" s="1"/>
  <c r="G110" i="8"/>
  <c r="F110" i="8" s="1"/>
  <c r="H146" i="7"/>
  <c r="H147" i="8" s="1"/>
  <c r="G147" i="8"/>
  <c r="F147" i="8" s="1"/>
  <c r="O119" i="3"/>
  <c r="Q119" i="3"/>
  <c r="S119" i="3"/>
  <c r="G108" i="3"/>
  <c r="G109" i="3" s="1"/>
  <c r="G168" i="3"/>
  <c r="G123" i="7"/>
  <c r="G124" i="8" s="1"/>
  <c r="E124" i="7"/>
  <c r="H145" i="7"/>
  <c r="H146" i="8" s="1"/>
  <c r="I108" i="3"/>
  <c r="F133" i="3"/>
  <c r="G133" i="3" s="1"/>
  <c r="E135" i="7"/>
  <c r="F169" i="3"/>
  <c r="G169" i="3" s="1"/>
  <c r="E171" i="7"/>
  <c r="H85" i="7"/>
  <c r="I86" i="7"/>
  <c r="J86" i="7" s="1"/>
  <c r="I99" i="7"/>
  <c r="J99" i="7" s="1"/>
  <c r="H98" i="7"/>
  <c r="F181" i="3"/>
  <c r="G181" i="3" s="1"/>
  <c r="E183" i="7"/>
  <c r="U82" i="3"/>
  <c r="U83" i="3" s="1"/>
  <c r="H181" i="7"/>
  <c r="H182" i="8" s="1"/>
  <c r="N72" i="7"/>
  <c r="H169" i="7"/>
  <c r="H170" i="8" s="1"/>
  <c r="F145" i="3"/>
  <c r="G145" i="3" s="1"/>
  <c r="E147" i="7"/>
  <c r="G110" i="7"/>
  <c r="G111" i="8" s="1"/>
  <c r="E111" i="7"/>
  <c r="U119" i="3"/>
  <c r="U131" i="3"/>
  <c r="T95" i="3"/>
  <c r="T96" i="3" s="1"/>
  <c r="P95" i="3"/>
  <c r="P96" i="3" s="1"/>
  <c r="S95" i="3"/>
  <c r="S96" i="3" s="1"/>
  <c r="O95" i="3"/>
  <c r="O96" i="3" s="1"/>
  <c r="R95" i="3"/>
  <c r="R96" i="3" s="1"/>
  <c r="N95" i="3"/>
  <c r="Q95" i="3"/>
  <c r="Q96" i="3" s="1"/>
  <c r="U167" i="3"/>
  <c r="U179" i="3"/>
  <c r="U107" i="3"/>
  <c r="U143" i="3"/>
  <c r="K168" i="3"/>
  <c r="S168" i="3"/>
  <c r="O168" i="3"/>
  <c r="R168" i="3"/>
  <c r="N168" i="3"/>
  <c r="Q168" i="3"/>
  <c r="T168" i="3"/>
  <c r="P168" i="3"/>
  <c r="K156" i="3"/>
  <c r="T156" i="3"/>
  <c r="P156" i="3"/>
  <c r="R156" i="3"/>
  <c r="N156" i="3"/>
  <c r="S156" i="3"/>
  <c r="Q156" i="3"/>
  <c r="O156" i="3"/>
  <c r="K180" i="3"/>
  <c r="R180" i="3"/>
  <c r="N180" i="3"/>
  <c r="Q180" i="3"/>
  <c r="T180" i="3"/>
  <c r="P180" i="3"/>
  <c r="S180" i="3"/>
  <c r="O180" i="3"/>
  <c r="K108" i="3"/>
  <c r="K109" i="3" s="1"/>
  <c r="T108" i="3"/>
  <c r="T109" i="3" s="1"/>
  <c r="P108" i="3"/>
  <c r="P109" i="3" s="1"/>
  <c r="S108" i="3"/>
  <c r="S109" i="3" s="1"/>
  <c r="O108" i="3"/>
  <c r="O109" i="3" s="1"/>
  <c r="R108" i="3"/>
  <c r="R109" i="3" s="1"/>
  <c r="N108" i="3"/>
  <c r="Q108" i="3"/>
  <c r="Q109" i="3" s="1"/>
  <c r="K120" i="3"/>
  <c r="R120" i="3"/>
  <c r="N120" i="3"/>
  <c r="Q120" i="3"/>
  <c r="T120" i="3"/>
  <c r="P120" i="3"/>
  <c r="S120" i="3"/>
  <c r="O120" i="3"/>
  <c r="U118" i="3"/>
  <c r="U155" i="3"/>
  <c r="I133" i="3"/>
  <c r="D133" i="3"/>
  <c r="C122" i="3"/>
  <c r="D121" i="3"/>
  <c r="D122" i="3" s="1"/>
  <c r="K95" i="3"/>
  <c r="K96" i="3" s="1"/>
  <c r="I96" i="3"/>
  <c r="I109" i="3"/>
  <c r="E170" i="3"/>
  <c r="B171" i="3"/>
  <c r="C170" i="3"/>
  <c r="D170" i="3" s="1"/>
  <c r="F121" i="3"/>
  <c r="E122" i="3"/>
  <c r="E158" i="3"/>
  <c r="C158" i="3"/>
  <c r="B159" i="3"/>
  <c r="E146" i="3"/>
  <c r="E148" i="7" s="1"/>
  <c r="C146" i="3"/>
  <c r="B147" i="3"/>
  <c r="B148" i="3" s="1"/>
  <c r="G132" i="3"/>
  <c r="I132" i="3"/>
  <c r="E134" i="3"/>
  <c r="E136" i="7" s="1"/>
  <c r="E137" i="8" s="1"/>
  <c r="C134" i="3"/>
  <c r="G144" i="3"/>
  <c r="I144" i="3"/>
  <c r="D169" i="3"/>
  <c r="E182" i="3"/>
  <c r="C182" i="3"/>
  <c r="D182" i="3" s="1"/>
  <c r="B183" i="3"/>
  <c r="F157" i="3"/>
  <c r="H158" i="7" l="1"/>
  <c r="J122" i="8"/>
  <c r="C38" i="9"/>
  <c r="G174" i="6"/>
  <c r="H174" i="6" s="1"/>
  <c r="E175" i="6"/>
  <c r="G186" i="6"/>
  <c r="H186" i="6" s="1"/>
  <c r="E187" i="6"/>
  <c r="N29" i="6"/>
  <c r="N29" i="8"/>
  <c r="J145" i="8"/>
  <c r="C45" i="9"/>
  <c r="G162" i="6"/>
  <c r="E163" i="6"/>
  <c r="J181" i="8"/>
  <c r="C56" i="9"/>
  <c r="I138" i="6"/>
  <c r="H137" i="6"/>
  <c r="H149" i="6"/>
  <c r="G150" i="6"/>
  <c r="J125" i="6"/>
  <c r="I137" i="6"/>
  <c r="I86" i="8"/>
  <c r="J74" i="8"/>
  <c r="I111" i="7"/>
  <c r="I100" i="8"/>
  <c r="C31" i="9" s="1"/>
  <c r="L96" i="7"/>
  <c r="L95" i="7"/>
  <c r="L97" i="7"/>
  <c r="L93" i="7"/>
  <c r="L86" i="7"/>
  <c r="L90" i="7"/>
  <c r="L94" i="7"/>
  <c r="L89" i="7"/>
  <c r="L92" i="7"/>
  <c r="L91" i="7"/>
  <c r="L87" i="7"/>
  <c r="L88" i="7"/>
  <c r="G171" i="7"/>
  <c r="E172" i="8"/>
  <c r="H182" i="7"/>
  <c r="H183" i="8" s="1"/>
  <c r="G183" i="8"/>
  <c r="C61" i="7"/>
  <c r="C67" i="7"/>
  <c r="G183" i="7"/>
  <c r="E184" i="8"/>
  <c r="H159" i="8"/>
  <c r="H159" i="7"/>
  <c r="H160" i="8" s="1"/>
  <c r="G160" i="8"/>
  <c r="F160" i="8" s="1"/>
  <c r="I158" i="8"/>
  <c r="C63" i="7"/>
  <c r="G148" i="7"/>
  <c r="E149" i="8"/>
  <c r="F111" i="8"/>
  <c r="G112" i="8"/>
  <c r="F112" i="8" s="1"/>
  <c r="I98" i="7"/>
  <c r="I87" i="8"/>
  <c r="C27" i="9" s="1"/>
  <c r="L82" i="7"/>
  <c r="L84" i="7"/>
  <c r="L83" i="7"/>
  <c r="L79" i="7"/>
  <c r="L75" i="7"/>
  <c r="L81" i="7"/>
  <c r="L76" i="7"/>
  <c r="L73" i="7"/>
  <c r="L80" i="7"/>
  <c r="L77" i="7"/>
  <c r="L74" i="7"/>
  <c r="L78" i="7"/>
  <c r="G135" i="7"/>
  <c r="E136" i="8"/>
  <c r="E138" i="8" s="1"/>
  <c r="C65" i="7"/>
  <c r="C66" i="7"/>
  <c r="C68" i="7"/>
  <c r="C73" i="7"/>
  <c r="F158" i="8"/>
  <c r="H122" i="7"/>
  <c r="H123" i="8" s="1"/>
  <c r="G123" i="8"/>
  <c r="F123" i="8" s="1"/>
  <c r="C62" i="7"/>
  <c r="C70" i="7"/>
  <c r="G147" i="7"/>
  <c r="E148" i="8"/>
  <c r="F124" i="8"/>
  <c r="H170" i="7"/>
  <c r="H171" i="8" s="1"/>
  <c r="G171" i="8"/>
  <c r="F159" i="8"/>
  <c r="H134" i="8"/>
  <c r="I134" i="7"/>
  <c r="J134" i="7" s="1"/>
  <c r="C69" i="7"/>
  <c r="C64" i="7"/>
  <c r="C71" i="7"/>
  <c r="I169" i="3"/>
  <c r="I145" i="3"/>
  <c r="I181" i="3"/>
  <c r="F170" i="3"/>
  <c r="E172" i="7"/>
  <c r="I147" i="7"/>
  <c r="J147" i="7" s="1"/>
  <c r="F182" i="3"/>
  <c r="E184" i="7"/>
  <c r="G136" i="7"/>
  <c r="G137" i="8" s="1"/>
  <c r="E137" i="7"/>
  <c r="F158" i="3"/>
  <c r="E160" i="7"/>
  <c r="H110" i="7"/>
  <c r="H111" i="8" s="1"/>
  <c r="H112" i="8" s="1"/>
  <c r="G111" i="7"/>
  <c r="I170" i="7"/>
  <c r="J170" i="7" s="1"/>
  <c r="I183" i="7"/>
  <c r="J183" i="7" s="1"/>
  <c r="N85" i="7"/>
  <c r="H123" i="7"/>
  <c r="H124" i="8" s="1"/>
  <c r="G124" i="7"/>
  <c r="K133" i="3"/>
  <c r="R133" i="3"/>
  <c r="N133" i="3"/>
  <c r="Q133" i="3"/>
  <c r="T133" i="3"/>
  <c r="P133" i="3"/>
  <c r="S133" i="3"/>
  <c r="O133" i="3"/>
  <c r="U120" i="3"/>
  <c r="K181" i="3"/>
  <c r="S181" i="3"/>
  <c r="O181" i="3"/>
  <c r="R181" i="3"/>
  <c r="N181" i="3"/>
  <c r="Q181" i="3"/>
  <c r="P181" i="3"/>
  <c r="T181" i="3"/>
  <c r="U156" i="3"/>
  <c r="U168" i="3"/>
  <c r="U95" i="3"/>
  <c r="U96" i="3" s="1"/>
  <c r="N96" i="3"/>
  <c r="U108" i="3"/>
  <c r="U109" i="3" s="1"/>
  <c r="N109" i="3"/>
  <c r="U180" i="3"/>
  <c r="T144" i="3"/>
  <c r="P144" i="3"/>
  <c r="S144" i="3"/>
  <c r="O144" i="3"/>
  <c r="R144" i="3"/>
  <c r="N144" i="3"/>
  <c r="Q144" i="3"/>
  <c r="Q132" i="3"/>
  <c r="T132" i="3"/>
  <c r="P132" i="3"/>
  <c r="S132" i="3"/>
  <c r="O132" i="3"/>
  <c r="R132" i="3"/>
  <c r="N132" i="3"/>
  <c r="K145" i="3"/>
  <c r="Q145" i="3"/>
  <c r="T145" i="3"/>
  <c r="P145" i="3"/>
  <c r="S145" i="3"/>
  <c r="O145" i="3"/>
  <c r="R145" i="3"/>
  <c r="N145" i="3"/>
  <c r="K169" i="3"/>
  <c r="T169" i="3"/>
  <c r="P169" i="3"/>
  <c r="S169" i="3"/>
  <c r="O169" i="3"/>
  <c r="R169" i="3"/>
  <c r="N169" i="3"/>
  <c r="Q169" i="3"/>
  <c r="G157" i="3"/>
  <c r="I157" i="3"/>
  <c r="K144" i="3"/>
  <c r="E147" i="3"/>
  <c r="C147" i="3"/>
  <c r="D147" i="3" s="1"/>
  <c r="E183" i="3"/>
  <c r="C183" i="3"/>
  <c r="B184" i="3"/>
  <c r="D134" i="3"/>
  <c r="D135" i="3" s="1"/>
  <c r="C135" i="3"/>
  <c r="K132" i="3"/>
  <c r="D146" i="3"/>
  <c r="G158" i="3"/>
  <c r="I158" i="3"/>
  <c r="G121" i="3"/>
  <c r="G122" i="3" s="1"/>
  <c r="I121" i="3"/>
  <c r="F122" i="3"/>
  <c r="E171" i="3"/>
  <c r="E173" i="7" s="1"/>
  <c r="C171" i="3"/>
  <c r="B172" i="3"/>
  <c r="G182" i="3"/>
  <c r="I182" i="3"/>
  <c r="E159" i="3"/>
  <c r="E161" i="7" s="1"/>
  <c r="C159" i="3"/>
  <c r="D159" i="3" s="1"/>
  <c r="B160" i="3"/>
  <c r="D158" i="3"/>
  <c r="F134" i="3"/>
  <c r="E135" i="3"/>
  <c r="F146" i="3"/>
  <c r="I146" i="3" s="1"/>
  <c r="G170" i="3"/>
  <c r="I170" i="3"/>
  <c r="H125" i="8" l="1"/>
  <c r="J158" i="8"/>
  <c r="C49" i="9"/>
  <c r="I151" i="6"/>
  <c r="H150" i="6"/>
  <c r="N30" i="6"/>
  <c r="N30" i="8"/>
  <c r="G187" i="6"/>
  <c r="H187" i="6" s="1"/>
  <c r="E188" i="6"/>
  <c r="I150" i="6"/>
  <c r="J138" i="6"/>
  <c r="H162" i="6"/>
  <c r="G163" i="6"/>
  <c r="G175" i="6"/>
  <c r="E176" i="6"/>
  <c r="I112" i="8"/>
  <c r="J100" i="8"/>
  <c r="I99" i="8"/>
  <c r="J87" i="8"/>
  <c r="G161" i="7"/>
  <c r="E162" i="8"/>
  <c r="G184" i="7"/>
  <c r="G185" i="8" s="1"/>
  <c r="E185" i="8"/>
  <c r="C74" i="7"/>
  <c r="C80" i="7"/>
  <c r="C92" i="7"/>
  <c r="C96" i="7"/>
  <c r="I135" i="8"/>
  <c r="C77" i="7"/>
  <c r="H183" i="7"/>
  <c r="H184" i="8" s="1"/>
  <c r="G184" i="8"/>
  <c r="F184" i="8" s="1"/>
  <c r="H171" i="7"/>
  <c r="H172" i="8" s="1"/>
  <c r="G172" i="8"/>
  <c r="F172" i="8" s="1"/>
  <c r="C87" i="7"/>
  <c r="I184" i="8"/>
  <c r="G160" i="7"/>
  <c r="E161" i="8"/>
  <c r="F171" i="8"/>
  <c r="C79" i="7"/>
  <c r="C91" i="7"/>
  <c r="G173" i="7"/>
  <c r="E174" i="8"/>
  <c r="I171" i="8"/>
  <c r="C75" i="7"/>
  <c r="C84" i="7"/>
  <c r="H148" i="7"/>
  <c r="H149" i="8" s="1"/>
  <c r="G149" i="8"/>
  <c r="F149" i="8" s="1"/>
  <c r="F183" i="8"/>
  <c r="C93" i="7"/>
  <c r="C97" i="7"/>
  <c r="I148" i="8"/>
  <c r="G125" i="8"/>
  <c r="F125" i="8" s="1"/>
  <c r="H147" i="7"/>
  <c r="H148" i="8" s="1"/>
  <c r="G148" i="8"/>
  <c r="F148" i="8" s="1"/>
  <c r="C78" i="7"/>
  <c r="C82" i="7"/>
  <c r="C86" i="7"/>
  <c r="C89" i="7"/>
  <c r="C90" i="7"/>
  <c r="C94" i="7"/>
  <c r="F137" i="8"/>
  <c r="G172" i="7"/>
  <c r="G173" i="8" s="1"/>
  <c r="E173" i="8"/>
  <c r="C85" i="7"/>
  <c r="H135" i="7"/>
  <c r="H136" i="8" s="1"/>
  <c r="G136" i="8"/>
  <c r="F136" i="8" s="1"/>
  <c r="C81" i="7"/>
  <c r="C76" i="7"/>
  <c r="C83" i="7"/>
  <c r="I160" i="7"/>
  <c r="J160" i="7" s="1"/>
  <c r="C88" i="7"/>
  <c r="C95" i="7"/>
  <c r="C99" i="7"/>
  <c r="F147" i="3"/>
  <c r="E149" i="7"/>
  <c r="E150" i="8" s="1"/>
  <c r="E151" i="8" s="1"/>
  <c r="N98" i="7"/>
  <c r="I112" i="7"/>
  <c r="J112" i="7" s="1"/>
  <c r="H111" i="7"/>
  <c r="H136" i="7"/>
  <c r="H137" i="8" s="1"/>
  <c r="G137" i="7"/>
  <c r="F183" i="3"/>
  <c r="G183" i="3" s="1"/>
  <c r="E185" i="7"/>
  <c r="H184" i="7"/>
  <c r="H185" i="8" s="1"/>
  <c r="I125" i="7"/>
  <c r="J125" i="7" s="1"/>
  <c r="H124" i="7"/>
  <c r="U133" i="3"/>
  <c r="S121" i="3"/>
  <c r="S122" i="3" s="1"/>
  <c r="O121" i="3"/>
  <c r="O122" i="3" s="1"/>
  <c r="R121" i="3"/>
  <c r="R122" i="3" s="1"/>
  <c r="N121" i="3"/>
  <c r="Q121" i="3"/>
  <c r="Q122" i="3" s="1"/>
  <c r="P121" i="3"/>
  <c r="P122" i="3" s="1"/>
  <c r="T121" i="3"/>
  <c r="T122" i="3" s="1"/>
  <c r="U132" i="3"/>
  <c r="U144" i="3"/>
  <c r="U181" i="3"/>
  <c r="K170" i="3"/>
  <c r="Q170" i="3"/>
  <c r="T170" i="3"/>
  <c r="P170" i="3"/>
  <c r="S170" i="3"/>
  <c r="O170" i="3"/>
  <c r="R170" i="3"/>
  <c r="N170" i="3"/>
  <c r="U169" i="3"/>
  <c r="R146" i="3"/>
  <c r="N146" i="3"/>
  <c r="Q146" i="3"/>
  <c r="T146" i="3"/>
  <c r="P146" i="3"/>
  <c r="O146" i="3"/>
  <c r="S146" i="3"/>
  <c r="U145" i="3"/>
  <c r="K182" i="3"/>
  <c r="T182" i="3"/>
  <c r="P182" i="3"/>
  <c r="S182" i="3"/>
  <c r="O182" i="3"/>
  <c r="R182" i="3"/>
  <c r="N182" i="3"/>
  <c r="Q182" i="3"/>
  <c r="K158" i="3"/>
  <c r="R158" i="3"/>
  <c r="N158" i="3"/>
  <c r="Q158" i="3"/>
  <c r="T158" i="3"/>
  <c r="P158" i="3"/>
  <c r="S158" i="3"/>
  <c r="O158" i="3"/>
  <c r="Q157" i="3"/>
  <c r="T157" i="3"/>
  <c r="S157" i="3"/>
  <c r="O157" i="3"/>
  <c r="N157" i="3"/>
  <c r="R157" i="3"/>
  <c r="P157" i="3"/>
  <c r="K146" i="3"/>
  <c r="C148" i="3"/>
  <c r="G134" i="3"/>
  <c r="G135" i="3" s="1"/>
  <c r="I134" i="3"/>
  <c r="F135" i="3"/>
  <c r="E172" i="3"/>
  <c r="C172" i="3"/>
  <c r="B173" i="3"/>
  <c r="B174" i="3" s="1"/>
  <c r="K121" i="3"/>
  <c r="K122" i="3" s="1"/>
  <c r="I122" i="3"/>
  <c r="E184" i="3"/>
  <c r="E186" i="7" s="1"/>
  <c r="B185" i="3"/>
  <c r="C184" i="3"/>
  <c r="D184" i="3" s="1"/>
  <c r="E148" i="3"/>
  <c r="F159" i="3"/>
  <c r="D171" i="3"/>
  <c r="D183" i="3"/>
  <c r="K157" i="3"/>
  <c r="B161" i="3"/>
  <c r="E160" i="3"/>
  <c r="C160" i="3"/>
  <c r="D160" i="3" s="1"/>
  <c r="D161" i="3" s="1"/>
  <c r="D148" i="3"/>
  <c r="G147" i="3"/>
  <c r="I147" i="3"/>
  <c r="G146" i="3"/>
  <c r="F148" i="3"/>
  <c r="F171" i="3"/>
  <c r="H172" i="7" l="1"/>
  <c r="H173" i="8" s="1"/>
  <c r="J171" i="8"/>
  <c r="C53" i="9"/>
  <c r="H163" i="6"/>
  <c r="I164" i="6"/>
  <c r="G188" i="6"/>
  <c r="E190" i="6"/>
  <c r="E189" i="6"/>
  <c r="J151" i="6"/>
  <c r="I163" i="6"/>
  <c r="J184" i="8"/>
  <c r="C57" i="9"/>
  <c r="J135" i="8"/>
  <c r="C42" i="9"/>
  <c r="H175" i="6"/>
  <c r="G176" i="6"/>
  <c r="J148" i="8"/>
  <c r="C46" i="9"/>
  <c r="N31" i="6"/>
  <c r="N31" i="8"/>
  <c r="H138" i="8"/>
  <c r="I137" i="7"/>
  <c r="L121" i="7"/>
  <c r="I126" i="8"/>
  <c r="C39" i="9" s="1"/>
  <c r="L123" i="7"/>
  <c r="L122" i="7"/>
  <c r="L117" i="7"/>
  <c r="L116" i="7"/>
  <c r="L120" i="7"/>
  <c r="L113" i="7"/>
  <c r="L112" i="7"/>
  <c r="L119" i="7"/>
  <c r="L114" i="7"/>
  <c r="L118" i="7"/>
  <c r="L115" i="7"/>
  <c r="I124" i="7"/>
  <c r="I113" i="8"/>
  <c r="C35" i="9" s="1"/>
  <c r="L108" i="7"/>
  <c r="L110" i="7"/>
  <c r="L109" i="7"/>
  <c r="L102" i="7"/>
  <c r="L100" i="7"/>
  <c r="L105" i="7"/>
  <c r="L107" i="7"/>
  <c r="L99" i="7"/>
  <c r="L106" i="7"/>
  <c r="L101" i="7"/>
  <c r="L103" i="7"/>
  <c r="L104" i="7"/>
  <c r="G186" i="7"/>
  <c r="E187" i="8"/>
  <c r="I161" i="8"/>
  <c r="G138" i="8"/>
  <c r="F138" i="8" s="1"/>
  <c r="C98" i="7"/>
  <c r="C111" i="7"/>
  <c r="F173" i="8"/>
  <c r="H173" i="7"/>
  <c r="H174" i="8" s="1"/>
  <c r="G174" i="8"/>
  <c r="F174" i="8" s="1"/>
  <c r="F185" i="8"/>
  <c r="G185" i="7"/>
  <c r="E186" i="8"/>
  <c r="H160" i="7"/>
  <c r="H161" i="8" s="1"/>
  <c r="G161" i="8"/>
  <c r="F161" i="8" s="1"/>
  <c r="H161" i="7"/>
  <c r="H162" i="8" s="1"/>
  <c r="G162" i="8"/>
  <c r="F162" i="8" s="1"/>
  <c r="I183" i="3"/>
  <c r="P183" i="3" s="1"/>
  <c r="H137" i="7"/>
  <c r="I138" i="7"/>
  <c r="J138" i="7" s="1"/>
  <c r="N111" i="7"/>
  <c r="F172" i="3"/>
  <c r="G172" i="3" s="1"/>
  <c r="E174" i="7"/>
  <c r="F160" i="3"/>
  <c r="G160" i="3" s="1"/>
  <c r="E162" i="7"/>
  <c r="E163" i="8" s="1"/>
  <c r="E164" i="8" s="1"/>
  <c r="G149" i="7"/>
  <c r="G150" i="8" s="1"/>
  <c r="E150" i="7"/>
  <c r="I173" i="7"/>
  <c r="J173" i="7" s="1"/>
  <c r="U157" i="3"/>
  <c r="U121" i="3"/>
  <c r="U122" i="3" s="1"/>
  <c r="N122" i="3"/>
  <c r="Q183" i="3"/>
  <c r="T183" i="3"/>
  <c r="S183" i="3"/>
  <c r="O183" i="3"/>
  <c r="R183" i="3"/>
  <c r="K147" i="3"/>
  <c r="K148" i="3" s="1"/>
  <c r="S147" i="3"/>
  <c r="S148" i="3" s="1"/>
  <c r="O147" i="3"/>
  <c r="O148" i="3" s="1"/>
  <c r="R147" i="3"/>
  <c r="R148" i="3" s="1"/>
  <c r="N147" i="3"/>
  <c r="Q147" i="3"/>
  <c r="Q148" i="3" s="1"/>
  <c r="T147" i="3"/>
  <c r="T148" i="3" s="1"/>
  <c r="P147" i="3"/>
  <c r="P148" i="3" s="1"/>
  <c r="S134" i="3"/>
  <c r="S135" i="3" s="1"/>
  <c r="O134" i="3"/>
  <c r="O135" i="3" s="1"/>
  <c r="R134" i="3"/>
  <c r="R135" i="3" s="1"/>
  <c r="N134" i="3"/>
  <c r="Q134" i="3"/>
  <c r="Q135" i="3" s="1"/>
  <c r="T134" i="3"/>
  <c r="T135" i="3" s="1"/>
  <c r="P134" i="3"/>
  <c r="P135" i="3" s="1"/>
  <c r="U158" i="3"/>
  <c r="U182" i="3"/>
  <c r="U170" i="3"/>
  <c r="U146" i="3"/>
  <c r="I172" i="3"/>
  <c r="D172" i="3"/>
  <c r="G148" i="3"/>
  <c r="G159" i="3"/>
  <c r="I159" i="3"/>
  <c r="F161" i="3"/>
  <c r="E185" i="3"/>
  <c r="B186" i="3"/>
  <c r="B187" i="3" s="1"/>
  <c r="C185" i="3"/>
  <c r="I148" i="3"/>
  <c r="G171" i="3"/>
  <c r="I171" i="3"/>
  <c r="I160" i="3"/>
  <c r="E161" i="3"/>
  <c r="K183" i="3"/>
  <c r="C161" i="3"/>
  <c r="F184" i="3"/>
  <c r="C173" i="3"/>
  <c r="D173" i="3" s="1"/>
  <c r="E173" i="3"/>
  <c r="E175" i="7" s="1"/>
  <c r="E176" i="8" s="1"/>
  <c r="K134" i="3"/>
  <c r="K135" i="3" s="1"/>
  <c r="I135" i="3"/>
  <c r="J164" i="6" l="1"/>
  <c r="I176" i="6"/>
  <c r="N32" i="6"/>
  <c r="N32" i="8"/>
  <c r="H176" i="6"/>
  <c r="I177" i="6"/>
  <c r="G190" i="6"/>
  <c r="E191" i="6"/>
  <c r="J161" i="8"/>
  <c r="C50" i="9"/>
  <c r="H188" i="6"/>
  <c r="G189" i="6"/>
  <c r="I125" i="8"/>
  <c r="J113" i="8"/>
  <c r="I138" i="8"/>
  <c r="J126" i="8"/>
  <c r="C104" i="7"/>
  <c r="C110" i="7"/>
  <c r="C120" i="7"/>
  <c r="C117" i="7"/>
  <c r="I174" i="8"/>
  <c r="C102" i="7"/>
  <c r="C106" i="7"/>
  <c r="C116" i="7"/>
  <c r="C113" i="7"/>
  <c r="C118" i="7"/>
  <c r="C122" i="7"/>
  <c r="G174" i="7"/>
  <c r="G175" i="8" s="1"/>
  <c r="E175" i="8"/>
  <c r="E177" i="8" s="1"/>
  <c r="C107" i="7"/>
  <c r="C101" i="7"/>
  <c r="C109" i="7"/>
  <c r="C119" i="7"/>
  <c r="C114" i="7"/>
  <c r="C123" i="7"/>
  <c r="H186" i="7"/>
  <c r="H187" i="8" s="1"/>
  <c r="G187" i="8"/>
  <c r="F187" i="8" s="1"/>
  <c r="C108" i="7"/>
  <c r="I150" i="7"/>
  <c r="L134" i="7"/>
  <c r="I139" i="8"/>
  <c r="C43" i="9" s="1"/>
  <c r="L135" i="7"/>
  <c r="L136" i="7"/>
  <c r="L133" i="7"/>
  <c r="L127" i="7"/>
  <c r="L129" i="7"/>
  <c r="L131" i="7"/>
  <c r="L130" i="7"/>
  <c r="L128" i="7"/>
  <c r="L132" i="7"/>
  <c r="L125" i="7"/>
  <c r="L126" i="7"/>
  <c r="C112" i="7"/>
  <c r="F150" i="8"/>
  <c r="G151" i="8"/>
  <c r="F151" i="8" s="1"/>
  <c r="H185" i="7"/>
  <c r="G186" i="8"/>
  <c r="F186" i="8" s="1"/>
  <c r="C105" i="7"/>
  <c r="C100" i="7"/>
  <c r="C103" i="7"/>
  <c r="C115" i="7"/>
  <c r="C121" i="7"/>
  <c r="C125" i="7"/>
  <c r="N183" i="3"/>
  <c r="G162" i="7"/>
  <c r="G163" i="8" s="1"/>
  <c r="E163" i="7"/>
  <c r="F185" i="3"/>
  <c r="G185" i="3" s="1"/>
  <c r="E187" i="7"/>
  <c r="N124" i="7"/>
  <c r="H149" i="7"/>
  <c r="H150" i="8" s="1"/>
  <c r="H151" i="8" s="1"/>
  <c r="G150" i="7"/>
  <c r="G175" i="7"/>
  <c r="E176" i="7"/>
  <c r="H174" i="7"/>
  <c r="H175" i="8" s="1"/>
  <c r="K160" i="3"/>
  <c r="T160" i="3"/>
  <c r="P160" i="3"/>
  <c r="S160" i="3"/>
  <c r="O160" i="3"/>
  <c r="R160" i="3"/>
  <c r="N160" i="3"/>
  <c r="Q160" i="3"/>
  <c r="U147" i="3"/>
  <c r="U148" i="3" s="1"/>
  <c r="N148" i="3"/>
  <c r="S159" i="3"/>
  <c r="O159" i="3"/>
  <c r="R159" i="3"/>
  <c r="N159" i="3"/>
  <c r="Q159" i="3"/>
  <c r="T159" i="3"/>
  <c r="P159" i="3"/>
  <c r="K172" i="3"/>
  <c r="S172" i="3"/>
  <c r="O172" i="3"/>
  <c r="R172" i="3"/>
  <c r="N172" i="3"/>
  <c r="Q172" i="3"/>
  <c r="T172" i="3"/>
  <c r="P172" i="3"/>
  <c r="U134" i="3"/>
  <c r="U135" i="3" s="1"/>
  <c r="N135" i="3"/>
  <c r="U183" i="3"/>
  <c r="R171" i="3"/>
  <c r="N171" i="3"/>
  <c r="Q171" i="3"/>
  <c r="T171" i="3"/>
  <c r="P171" i="3"/>
  <c r="O171" i="3"/>
  <c r="S171" i="3"/>
  <c r="D174" i="3"/>
  <c r="G161" i="3"/>
  <c r="G184" i="3"/>
  <c r="I184" i="3"/>
  <c r="K171" i="3"/>
  <c r="D185" i="3"/>
  <c r="K159" i="3"/>
  <c r="I161" i="3"/>
  <c r="F173" i="3"/>
  <c r="E174" i="3"/>
  <c r="C174" i="3"/>
  <c r="B188" i="3"/>
  <c r="C186" i="3"/>
  <c r="D186" i="3" s="1"/>
  <c r="E186" i="3"/>
  <c r="E188" i="7" s="1"/>
  <c r="E189" i="8" s="1"/>
  <c r="J174" i="8" l="1"/>
  <c r="C54" i="9"/>
  <c r="H189" i="6"/>
  <c r="I190" i="6"/>
  <c r="G191" i="6"/>
  <c r="H191" i="6" s="1"/>
  <c r="E192" i="6"/>
  <c r="H190" i="6"/>
  <c r="N33" i="6"/>
  <c r="N33" i="8"/>
  <c r="N34" i="8" s="1"/>
  <c r="N34" i="6"/>
  <c r="I189" i="6"/>
  <c r="J177" i="6"/>
  <c r="I151" i="8"/>
  <c r="J139" i="8"/>
  <c r="H186" i="8"/>
  <c r="I186" i="7"/>
  <c r="J186" i="7" s="1"/>
  <c r="C126" i="7"/>
  <c r="C138" i="7"/>
  <c r="C133" i="7"/>
  <c r="C136" i="7"/>
  <c r="H175" i="7"/>
  <c r="H176" i="8" s="1"/>
  <c r="H177" i="8" s="1"/>
  <c r="G176" i="8"/>
  <c r="G187" i="7"/>
  <c r="G188" i="8" s="1"/>
  <c r="E188" i="8"/>
  <c r="E190" i="8" s="1"/>
  <c r="C129" i="7"/>
  <c r="C128" i="7"/>
  <c r="F175" i="8"/>
  <c r="C132" i="7"/>
  <c r="F163" i="8"/>
  <c r="G164" i="8"/>
  <c r="F164" i="8" s="1"/>
  <c r="C124" i="7"/>
  <c r="C130" i="7"/>
  <c r="C137" i="7"/>
  <c r="C127" i="7"/>
  <c r="C131" i="7"/>
  <c r="C134" i="7"/>
  <c r="C135" i="7"/>
  <c r="I185" i="3"/>
  <c r="G176" i="7"/>
  <c r="H187" i="7"/>
  <c r="H188" i="8" s="1"/>
  <c r="I151" i="7"/>
  <c r="J151" i="7" s="1"/>
  <c r="H150" i="7"/>
  <c r="G188" i="7"/>
  <c r="E189" i="7"/>
  <c r="N137" i="7"/>
  <c r="H162" i="7"/>
  <c r="H163" i="8" s="1"/>
  <c r="H164" i="8" s="1"/>
  <c r="G163" i="7"/>
  <c r="Q161" i="3"/>
  <c r="S161" i="3"/>
  <c r="O161" i="3"/>
  <c r="K185" i="3"/>
  <c r="S185" i="3"/>
  <c r="O185" i="3"/>
  <c r="R185" i="3"/>
  <c r="N185" i="3"/>
  <c r="Q185" i="3"/>
  <c r="T185" i="3"/>
  <c r="P185" i="3"/>
  <c r="K161" i="3"/>
  <c r="R184" i="3"/>
  <c r="N184" i="3"/>
  <c r="Q184" i="3"/>
  <c r="T184" i="3"/>
  <c r="P184" i="3"/>
  <c r="S184" i="3"/>
  <c r="O184" i="3"/>
  <c r="U160" i="3"/>
  <c r="N161" i="3"/>
  <c r="P161" i="3"/>
  <c r="U171" i="3"/>
  <c r="U172" i="3"/>
  <c r="U159" i="3"/>
  <c r="R161" i="3"/>
  <c r="T161" i="3"/>
  <c r="D187" i="3"/>
  <c r="G173" i="3"/>
  <c r="G174" i="3" s="1"/>
  <c r="I173" i="3"/>
  <c r="F174" i="3"/>
  <c r="K184" i="3"/>
  <c r="C187" i="3"/>
  <c r="C188" i="3"/>
  <c r="D188" i="3" s="1"/>
  <c r="B189" i="3"/>
  <c r="E188" i="3"/>
  <c r="F186" i="3"/>
  <c r="E187" i="3"/>
  <c r="I177" i="7" l="1"/>
  <c r="J177" i="7" s="1"/>
  <c r="H176" i="7"/>
  <c r="J190" i="6"/>
  <c r="N35" i="8"/>
  <c r="N35" i="6"/>
  <c r="G192" i="6"/>
  <c r="E193" i="6"/>
  <c r="I189" i="7"/>
  <c r="I178" i="8"/>
  <c r="L173" i="7"/>
  <c r="L175" i="7"/>
  <c r="L174" i="7"/>
  <c r="L170" i="7"/>
  <c r="L164" i="7"/>
  <c r="L168" i="7"/>
  <c r="L169" i="7"/>
  <c r="L165" i="7"/>
  <c r="L166" i="7"/>
  <c r="L172" i="7"/>
  <c r="L167" i="7"/>
  <c r="L171" i="7"/>
  <c r="I163" i="7"/>
  <c r="I152" i="8"/>
  <c r="C47" i="9" s="1"/>
  <c r="L147" i="7"/>
  <c r="L149" i="7"/>
  <c r="L148" i="7"/>
  <c r="L146" i="7"/>
  <c r="L143" i="7"/>
  <c r="L139" i="7"/>
  <c r="L144" i="7"/>
  <c r="L141" i="7"/>
  <c r="L145" i="7"/>
  <c r="L138" i="7"/>
  <c r="L140" i="7"/>
  <c r="L142" i="7"/>
  <c r="C150" i="7"/>
  <c r="I187" i="8"/>
  <c r="H188" i="7"/>
  <c r="H189" i="8" s="1"/>
  <c r="H190" i="8" s="1"/>
  <c r="G189" i="8"/>
  <c r="F188" i="8"/>
  <c r="F176" i="8"/>
  <c r="G177" i="8"/>
  <c r="F177" i="8" s="1"/>
  <c r="H163" i="7"/>
  <c r="I164" i="7"/>
  <c r="J164" i="7" s="1"/>
  <c r="G189" i="7"/>
  <c r="F188" i="3"/>
  <c r="G188" i="3" s="1"/>
  <c r="E190" i="7"/>
  <c r="E191" i="8" s="1"/>
  <c r="N150" i="7"/>
  <c r="T173" i="3"/>
  <c r="T174" i="3" s="1"/>
  <c r="P173" i="3"/>
  <c r="P174" i="3" s="1"/>
  <c r="S173" i="3"/>
  <c r="S174" i="3" s="1"/>
  <c r="O173" i="3"/>
  <c r="O174" i="3" s="1"/>
  <c r="R173" i="3"/>
  <c r="R174" i="3" s="1"/>
  <c r="N173" i="3"/>
  <c r="Q173" i="3"/>
  <c r="Q174" i="3" s="1"/>
  <c r="U184" i="3"/>
  <c r="U161" i="3"/>
  <c r="U185" i="3"/>
  <c r="B190" i="3"/>
  <c r="C189" i="3"/>
  <c r="D189" i="3" s="1"/>
  <c r="E189" i="3"/>
  <c r="K173" i="3"/>
  <c r="K174" i="3" s="1"/>
  <c r="I174" i="3"/>
  <c r="I186" i="3"/>
  <c r="G186" i="3"/>
  <c r="G187" i="3" s="1"/>
  <c r="F187" i="3"/>
  <c r="H189" i="7" l="1"/>
  <c r="I190" i="7"/>
  <c r="J190" i="7" s="1"/>
  <c r="J187" i="8"/>
  <c r="C58" i="9"/>
  <c r="J178" i="8"/>
  <c r="C55" i="9"/>
  <c r="G193" i="6"/>
  <c r="H193" i="6" s="1"/>
  <c r="E194" i="6"/>
  <c r="N36" i="6"/>
  <c r="N36" i="8"/>
  <c r="H192" i="6"/>
  <c r="L177" i="7"/>
  <c r="C178" i="7" s="1"/>
  <c r="L179" i="7"/>
  <c r="C180" i="7" s="1"/>
  <c r="I164" i="8"/>
  <c r="J152" i="8"/>
  <c r="C142" i="7"/>
  <c r="C147" i="7"/>
  <c r="C173" i="7"/>
  <c r="C177" i="7"/>
  <c r="C141" i="7"/>
  <c r="C145" i="7"/>
  <c r="C174" i="7"/>
  <c r="I191" i="8"/>
  <c r="F189" i="8"/>
  <c r="G190" i="8"/>
  <c r="F190" i="8" s="1"/>
  <c r="C139" i="7"/>
  <c r="C140" i="7"/>
  <c r="C151" i="7"/>
  <c r="C172" i="7"/>
  <c r="C166" i="7"/>
  <c r="C171" i="7"/>
  <c r="I190" i="8"/>
  <c r="C143" i="7"/>
  <c r="C169" i="7"/>
  <c r="C149" i="7"/>
  <c r="C167" i="7"/>
  <c r="C165" i="7"/>
  <c r="I176" i="7"/>
  <c r="I165" i="8"/>
  <c r="C51" i="9" s="1"/>
  <c r="L160" i="7"/>
  <c r="L162" i="7"/>
  <c r="L161" i="7"/>
  <c r="L159" i="7"/>
  <c r="L156" i="7"/>
  <c r="L154" i="7"/>
  <c r="L157" i="7"/>
  <c r="L158" i="7"/>
  <c r="L153" i="7"/>
  <c r="L152" i="7"/>
  <c r="L155" i="7"/>
  <c r="L151" i="7"/>
  <c r="L178" i="7"/>
  <c r="C146" i="7"/>
  <c r="C144" i="7"/>
  <c r="C148" i="7"/>
  <c r="C168" i="7"/>
  <c r="C170" i="7"/>
  <c r="C175" i="7"/>
  <c r="N163" i="7"/>
  <c r="I188" i="3"/>
  <c r="Q188" i="3" s="1"/>
  <c r="F189" i="3"/>
  <c r="I189" i="3" s="1"/>
  <c r="E191" i="7"/>
  <c r="G190" i="7"/>
  <c r="G191" i="8" s="1"/>
  <c r="F191" i="8" s="1"/>
  <c r="U173" i="3"/>
  <c r="U174" i="3" s="1"/>
  <c r="N174" i="3"/>
  <c r="T186" i="3"/>
  <c r="T187" i="3" s="1"/>
  <c r="P186" i="3"/>
  <c r="P187" i="3" s="1"/>
  <c r="S186" i="3"/>
  <c r="S187" i="3" s="1"/>
  <c r="O186" i="3"/>
  <c r="O187" i="3" s="1"/>
  <c r="R186" i="3"/>
  <c r="R187" i="3" s="1"/>
  <c r="N186" i="3"/>
  <c r="Q186" i="3"/>
  <c r="Q187" i="3" s="1"/>
  <c r="K186" i="3"/>
  <c r="K187" i="3" s="1"/>
  <c r="I187" i="3"/>
  <c r="E190" i="3"/>
  <c r="B191" i="3"/>
  <c r="C190" i="3"/>
  <c r="D190" i="3" s="1"/>
  <c r="R188" i="3" l="1"/>
  <c r="N37" i="6"/>
  <c r="N37" i="8"/>
  <c r="G194" i="6"/>
  <c r="E195" i="6"/>
  <c r="J191" i="8"/>
  <c r="C59" i="9"/>
  <c r="I193" i="6"/>
  <c r="I177" i="8"/>
  <c r="J165" i="8"/>
  <c r="C159" i="7"/>
  <c r="C160" i="7"/>
  <c r="C163" i="7"/>
  <c r="C156" i="7"/>
  <c r="C162" i="7"/>
  <c r="C155" i="7"/>
  <c r="C164" i="7"/>
  <c r="C152" i="7"/>
  <c r="C189" i="7"/>
  <c r="C158" i="7"/>
  <c r="G191" i="7"/>
  <c r="E192" i="8"/>
  <c r="C153" i="7"/>
  <c r="C179" i="7"/>
  <c r="C154" i="7"/>
  <c r="C157" i="7"/>
  <c r="C161" i="7"/>
  <c r="P188" i="3"/>
  <c r="T188" i="3"/>
  <c r="N188" i="3"/>
  <c r="U188" i="3" s="1"/>
  <c r="O188" i="3"/>
  <c r="K188" i="3"/>
  <c r="S188" i="3"/>
  <c r="G189" i="3"/>
  <c r="H190" i="7"/>
  <c r="H191" i="8" s="1"/>
  <c r="F190" i="3"/>
  <c r="E192" i="7"/>
  <c r="E193" i="8" s="1"/>
  <c r="N176" i="7"/>
  <c r="K189" i="3"/>
  <c r="R189" i="3"/>
  <c r="N189" i="3"/>
  <c r="Q189" i="3"/>
  <c r="T189" i="3"/>
  <c r="P189" i="3"/>
  <c r="O189" i="3"/>
  <c r="S189" i="3"/>
  <c r="U186" i="3"/>
  <c r="U187" i="3" s="1"/>
  <c r="N187" i="3"/>
  <c r="B192" i="3"/>
  <c r="C191" i="3"/>
  <c r="D191" i="3" s="1"/>
  <c r="E191" i="3"/>
  <c r="G190" i="3"/>
  <c r="I190" i="3"/>
  <c r="H194" i="6" l="1"/>
  <c r="N38" i="6"/>
  <c r="N38" i="8"/>
  <c r="J193" i="6"/>
  <c r="G195" i="6"/>
  <c r="H195" i="6" s="1"/>
  <c r="I196" i="6" s="1"/>
  <c r="J196" i="6" s="1"/>
  <c r="E196" i="6"/>
  <c r="H191" i="7"/>
  <c r="H192" i="8" s="1"/>
  <c r="G192" i="8"/>
  <c r="F192" i="8" s="1"/>
  <c r="C176" i="7"/>
  <c r="G192" i="7"/>
  <c r="G193" i="8" s="1"/>
  <c r="F193" i="8" s="1"/>
  <c r="F191" i="3"/>
  <c r="E193" i="7"/>
  <c r="N189" i="7"/>
  <c r="K190" i="3"/>
  <c r="S190" i="3"/>
  <c r="O190" i="3"/>
  <c r="R190" i="3"/>
  <c r="N190" i="3"/>
  <c r="Q190" i="3"/>
  <c r="T190" i="3"/>
  <c r="P190" i="3"/>
  <c r="U189" i="3"/>
  <c r="I191" i="3"/>
  <c r="G191" i="3"/>
  <c r="C192" i="3"/>
  <c r="D192" i="3" s="1"/>
  <c r="B193" i="3"/>
  <c r="E192" i="3"/>
  <c r="G196" i="6" l="1"/>
  <c r="H196" i="6" s="1"/>
  <c r="E197" i="6"/>
  <c r="N39" i="6"/>
  <c r="N39" i="8"/>
  <c r="G193" i="7"/>
  <c r="E194" i="8"/>
  <c r="F192" i="3"/>
  <c r="G192" i="3" s="1"/>
  <c r="E194" i="7"/>
  <c r="H192" i="7"/>
  <c r="H193" i="8" s="1"/>
  <c r="U190" i="3"/>
  <c r="K191" i="3"/>
  <c r="T191" i="3"/>
  <c r="P191" i="3"/>
  <c r="S191" i="3"/>
  <c r="O191" i="3"/>
  <c r="R191" i="3"/>
  <c r="N191" i="3"/>
  <c r="Q191" i="3"/>
  <c r="B194" i="3"/>
  <c r="C193" i="3"/>
  <c r="D193" i="3" s="1"/>
  <c r="E193" i="3"/>
  <c r="N40" i="6" l="1"/>
  <c r="N40" i="8"/>
  <c r="G197" i="6"/>
  <c r="E198" i="6"/>
  <c r="G194" i="7"/>
  <c r="E195" i="8"/>
  <c r="H193" i="7"/>
  <c r="H194" i="8" s="1"/>
  <c r="G194" i="8"/>
  <c r="F194" i="8" s="1"/>
  <c r="I192" i="3"/>
  <c r="Q192" i="3" s="1"/>
  <c r="I193" i="7"/>
  <c r="J193" i="7" s="1"/>
  <c r="F193" i="3"/>
  <c r="I193" i="3" s="1"/>
  <c r="E195" i="7"/>
  <c r="E196" i="8" s="1"/>
  <c r="K192" i="3"/>
  <c r="S192" i="3"/>
  <c r="U191" i="3"/>
  <c r="G193" i="3"/>
  <c r="B195" i="3"/>
  <c r="C194" i="3"/>
  <c r="E194" i="3"/>
  <c r="G198" i="6" l="1"/>
  <c r="H198" i="6" s="1"/>
  <c r="E199" i="6"/>
  <c r="N192" i="3"/>
  <c r="P192" i="3"/>
  <c r="H197" i="6"/>
  <c r="R192" i="3"/>
  <c r="T192" i="3"/>
  <c r="O192" i="3"/>
  <c r="N41" i="8"/>
  <c r="N41" i="6"/>
  <c r="I194" i="8"/>
  <c r="L180" i="7"/>
  <c r="L181" i="7"/>
  <c r="L182" i="7"/>
  <c r="H194" i="7"/>
  <c r="H195" i="8" s="1"/>
  <c r="G195" i="8"/>
  <c r="F195" i="8" s="1"/>
  <c r="F194" i="3"/>
  <c r="E196" i="7"/>
  <c r="G195" i="7"/>
  <c r="G196" i="8" s="1"/>
  <c r="F196" i="8" s="1"/>
  <c r="U192" i="3"/>
  <c r="K193" i="3"/>
  <c r="R193" i="3"/>
  <c r="N193" i="3"/>
  <c r="Q193" i="3"/>
  <c r="T193" i="3"/>
  <c r="P193" i="3"/>
  <c r="S193" i="3"/>
  <c r="O193" i="3"/>
  <c r="C195" i="3"/>
  <c r="D195" i="3" s="1"/>
  <c r="E195" i="3"/>
  <c r="E197" i="7" s="1"/>
  <c r="B196" i="3"/>
  <c r="B197" i="3" s="1"/>
  <c r="I194" i="3"/>
  <c r="G194" i="3"/>
  <c r="D194" i="3"/>
  <c r="J194" i="8" l="1"/>
  <c r="C60" i="9"/>
  <c r="N42" i="6"/>
  <c r="N42" i="8"/>
  <c r="G199" i="6"/>
  <c r="E202" i="6"/>
  <c r="E205" i="6" s="1"/>
  <c r="I199" i="6"/>
  <c r="G197" i="7"/>
  <c r="E198" i="8"/>
  <c r="G196" i="7"/>
  <c r="E197" i="8"/>
  <c r="C183" i="7"/>
  <c r="C181" i="7"/>
  <c r="C182" i="7"/>
  <c r="H195" i="7"/>
  <c r="H196" i="8" s="1"/>
  <c r="K194" i="3"/>
  <c r="S194" i="3"/>
  <c r="O194" i="3"/>
  <c r="R194" i="3"/>
  <c r="N194" i="3"/>
  <c r="Q194" i="3"/>
  <c r="T194" i="3"/>
  <c r="P194" i="3"/>
  <c r="U193" i="3"/>
  <c r="F195" i="3"/>
  <c r="C196" i="3"/>
  <c r="E196" i="3"/>
  <c r="J199" i="6" l="1"/>
  <c r="I202" i="6"/>
  <c r="N43" i="8"/>
  <c r="N43" i="6"/>
  <c r="E207" i="6"/>
  <c r="H199" i="6"/>
  <c r="G202" i="6"/>
  <c r="G205" i="6" s="1"/>
  <c r="F205" i="6" s="1"/>
  <c r="H196" i="7"/>
  <c r="H197" i="8" s="1"/>
  <c r="G197" i="8"/>
  <c r="F197" i="8" s="1"/>
  <c r="H197" i="7"/>
  <c r="H198" i="8" s="1"/>
  <c r="G198" i="8"/>
  <c r="F198" i="8" s="1"/>
  <c r="F196" i="3"/>
  <c r="I196" i="3" s="1"/>
  <c r="E198" i="7"/>
  <c r="I196" i="7"/>
  <c r="J196" i="7" s="1"/>
  <c r="U194" i="3"/>
  <c r="D196" i="3"/>
  <c r="C197" i="3"/>
  <c r="D197" i="3" s="1"/>
  <c r="E197" i="3"/>
  <c r="B200" i="3"/>
  <c r="B203" i="3" s="1"/>
  <c r="G196" i="3"/>
  <c r="G195" i="3"/>
  <c r="I195" i="3"/>
  <c r="N44" i="6" l="1"/>
  <c r="N44" i="8"/>
  <c r="I203" i="6"/>
  <c r="H202" i="6"/>
  <c r="H205" i="6" s="1"/>
  <c r="B5" i="6" s="1"/>
  <c r="D200" i="3"/>
  <c r="D203" i="3" s="1"/>
  <c r="G198" i="7"/>
  <c r="G199" i="8" s="1"/>
  <c r="E199" i="8"/>
  <c r="I197" i="8"/>
  <c r="L183" i="7"/>
  <c r="L184" i="7"/>
  <c r="L185" i="7"/>
  <c r="F197" i="3"/>
  <c r="E199" i="7"/>
  <c r="E200" i="8" s="1"/>
  <c r="E203" i="8" s="1"/>
  <c r="E206" i="8" s="1"/>
  <c r="H214" i="8" s="1"/>
  <c r="T195" i="3"/>
  <c r="P195" i="3"/>
  <c r="S195" i="3"/>
  <c r="O195" i="3"/>
  <c r="R195" i="3"/>
  <c r="N195" i="3"/>
  <c r="Q195" i="3"/>
  <c r="K196" i="3"/>
  <c r="Q196" i="3"/>
  <c r="T196" i="3"/>
  <c r="P196" i="3"/>
  <c r="S196" i="3"/>
  <c r="O196" i="3"/>
  <c r="N196" i="3"/>
  <c r="R196" i="3"/>
  <c r="B205" i="3"/>
  <c r="B198" i="1"/>
  <c r="I197" i="3"/>
  <c r="G197" i="3"/>
  <c r="G200" i="3" s="1"/>
  <c r="G203" i="3" s="1"/>
  <c r="K195" i="3"/>
  <c r="E200" i="3"/>
  <c r="E203" i="3" s="1"/>
  <c r="C200" i="3"/>
  <c r="C203" i="3" s="1"/>
  <c r="F200" i="3"/>
  <c r="F203" i="3" s="1"/>
  <c r="B7" i="6" l="1"/>
  <c r="K5" i="6"/>
  <c r="D5" i="6"/>
  <c r="C5" i="6" s="1"/>
  <c r="B6" i="6"/>
  <c r="B205" i="6"/>
  <c r="I204" i="6"/>
  <c r="I205" i="6" s="1"/>
  <c r="J203" i="6"/>
  <c r="H198" i="7"/>
  <c r="H199" i="8" s="1"/>
  <c r="J197" i="8"/>
  <c r="C61" i="9"/>
  <c r="E208" i="8"/>
  <c r="N45" i="8"/>
  <c r="N45" i="6"/>
  <c r="C184" i="7"/>
  <c r="C185" i="7"/>
  <c r="C186" i="7"/>
  <c r="F199" i="8"/>
  <c r="G199" i="7"/>
  <c r="G200" i="8" s="1"/>
  <c r="F200" i="8" s="1"/>
  <c r="F201" i="8" s="1"/>
  <c r="F202" i="8" s="1"/>
  <c r="F204" i="8" s="1"/>
  <c r="F205" i="8" s="1"/>
  <c r="E202" i="7"/>
  <c r="E205" i="7" s="1"/>
  <c r="E207" i="7" s="1"/>
  <c r="I199" i="7"/>
  <c r="J199" i="7" s="1"/>
  <c r="K197" i="3"/>
  <c r="K200" i="3" s="1"/>
  <c r="K203" i="3" s="1"/>
  <c r="R197" i="3"/>
  <c r="R200" i="3" s="1"/>
  <c r="R203" i="3" s="1"/>
  <c r="N197" i="3"/>
  <c r="Q197" i="3"/>
  <c r="Q200" i="3" s="1"/>
  <c r="Q203" i="3" s="1"/>
  <c r="T197" i="3"/>
  <c r="T200" i="3" s="1"/>
  <c r="T203" i="3" s="1"/>
  <c r="P197" i="3"/>
  <c r="P200" i="3" s="1"/>
  <c r="P203" i="3" s="1"/>
  <c r="S197" i="3"/>
  <c r="S200" i="3" s="1"/>
  <c r="S203" i="3" s="1"/>
  <c r="O197" i="3"/>
  <c r="O200" i="3" s="1"/>
  <c r="O203" i="3" s="1"/>
  <c r="U196" i="3"/>
  <c r="U195" i="3"/>
  <c r="N200" i="3"/>
  <c r="N203" i="3" s="1"/>
  <c r="I200" i="3"/>
  <c r="I203" i="3" s="1"/>
  <c r="J203" i="3" s="1"/>
  <c r="E205" i="3"/>
  <c r="C198" i="1"/>
  <c r="D6" i="6" l="1"/>
  <c r="C6" i="6" s="1"/>
  <c r="C7" i="8" s="1"/>
  <c r="B8" i="6"/>
  <c r="N47" i="6"/>
  <c r="N46" i="8"/>
  <c r="N47" i="8" s="1"/>
  <c r="N46" i="6"/>
  <c r="D7" i="6"/>
  <c r="D205" i="6"/>
  <c r="C205" i="6"/>
  <c r="C7" i="6"/>
  <c r="C6" i="8"/>
  <c r="K6" i="6"/>
  <c r="M5" i="6"/>
  <c r="L5" i="6" s="1"/>
  <c r="L6" i="8" s="1"/>
  <c r="K205" i="6"/>
  <c r="I202" i="7"/>
  <c r="I200" i="8"/>
  <c r="L188" i="7"/>
  <c r="L187" i="7"/>
  <c r="L186" i="7"/>
  <c r="H199" i="7"/>
  <c r="H200" i="8" s="1"/>
  <c r="G202" i="7"/>
  <c r="G205" i="7" s="1"/>
  <c r="F205" i="7" s="1"/>
  <c r="N202" i="7"/>
  <c r="U197" i="3"/>
  <c r="U200" i="3" s="1"/>
  <c r="U203" i="3" s="1"/>
  <c r="G198" i="1"/>
  <c r="L3" i="3"/>
  <c r="L4" i="3" s="1"/>
  <c r="L5" i="3" s="1"/>
  <c r="M6" i="6" l="1"/>
  <c r="M7" i="6" s="1"/>
  <c r="K7" i="6"/>
  <c r="L6" i="6"/>
  <c r="K8" i="6"/>
  <c r="N48" i="6"/>
  <c r="N48" i="8"/>
  <c r="C206" i="8"/>
  <c r="C8" i="8"/>
  <c r="B20" i="6"/>
  <c r="D20" i="6" s="1"/>
  <c r="C20" i="6" s="1"/>
  <c r="D8" i="6"/>
  <c r="C8" i="6" s="1"/>
  <c r="B9" i="6"/>
  <c r="J200" i="8"/>
  <c r="C62" i="9"/>
  <c r="C187" i="7"/>
  <c r="C188" i="7"/>
  <c r="C190" i="7"/>
  <c r="I203" i="7"/>
  <c r="J203" i="7" s="1"/>
  <c r="H202" i="7"/>
  <c r="H205" i="7" s="1"/>
  <c r="B5" i="7" s="1"/>
  <c r="B6" i="8" s="1"/>
  <c r="L6" i="3"/>
  <c r="L7" i="3" s="1"/>
  <c r="L8" i="3" s="1"/>
  <c r="L9" i="3" s="1"/>
  <c r="L10" i="3" s="1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M5" i="3"/>
  <c r="K9" i="6" l="1"/>
  <c r="M8" i="6"/>
  <c r="L8" i="6" s="1"/>
  <c r="L9" i="8" s="1"/>
  <c r="B10" i="6"/>
  <c r="D9" i="6"/>
  <c r="C9" i="6" s="1"/>
  <c r="C10" i="8" s="1"/>
  <c r="L7" i="6"/>
  <c r="L7" i="8"/>
  <c r="L8" i="8" s="1"/>
  <c r="N49" i="6"/>
  <c r="N49" i="8"/>
  <c r="I204" i="7"/>
  <c r="I205" i="7" s="1"/>
  <c r="I204" i="8"/>
  <c r="L190" i="7"/>
  <c r="C202" i="7"/>
  <c r="D5" i="7"/>
  <c r="D6" i="8" s="1"/>
  <c r="K5" i="7"/>
  <c r="K6" i="8" s="1"/>
  <c r="B205" i="7"/>
  <c r="B7" i="7"/>
  <c r="L22" i="3"/>
  <c r="L23" i="3" s="1"/>
  <c r="L24" i="3" s="1"/>
  <c r="M8" i="3"/>
  <c r="K205" i="7" l="1"/>
  <c r="J204" i="8"/>
  <c r="C63" i="9"/>
  <c r="N50" i="6"/>
  <c r="N50" i="8"/>
  <c r="B11" i="6"/>
  <c r="D10" i="6"/>
  <c r="C10" i="6" s="1"/>
  <c r="C11" i="8" s="1"/>
  <c r="K10" i="6"/>
  <c r="M9" i="6"/>
  <c r="L9" i="6" s="1"/>
  <c r="L10" i="8" s="1"/>
  <c r="C191" i="7"/>
  <c r="M5" i="7"/>
  <c r="B6" i="7"/>
  <c r="D205" i="7"/>
  <c r="D7" i="7"/>
  <c r="L25" i="3"/>
  <c r="L26" i="3" s="1"/>
  <c r="L27" i="3" s="1"/>
  <c r="M11" i="3"/>
  <c r="M10" i="6" l="1"/>
  <c r="L10" i="6" s="1"/>
  <c r="L11" i="8" s="1"/>
  <c r="K11" i="6"/>
  <c r="N51" i="6"/>
  <c r="N51" i="8"/>
  <c r="B12" i="6"/>
  <c r="D11" i="6"/>
  <c r="C11" i="6" s="1"/>
  <c r="C12" i="8" s="1"/>
  <c r="K6" i="7"/>
  <c r="K7" i="7" s="1"/>
  <c r="B7" i="8"/>
  <c r="D6" i="7"/>
  <c r="D7" i="8" s="1"/>
  <c r="M6" i="8"/>
  <c r="C205" i="7"/>
  <c r="C7" i="7"/>
  <c r="L28" i="3"/>
  <c r="L29" i="3" s="1"/>
  <c r="L30" i="3" s="1"/>
  <c r="M14" i="3"/>
  <c r="N52" i="6" l="1"/>
  <c r="N52" i="8"/>
  <c r="K12" i="6"/>
  <c r="M11" i="6"/>
  <c r="L11" i="6" s="1"/>
  <c r="L12" i="8" s="1"/>
  <c r="D12" i="6"/>
  <c r="C12" i="6" s="1"/>
  <c r="C13" i="8" s="1"/>
  <c r="B13" i="6"/>
  <c r="B8" i="7"/>
  <c r="M6" i="7"/>
  <c r="K7" i="8"/>
  <c r="L7" i="7"/>
  <c r="C8" i="7"/>
  <c r="L31" i="3"/>
  <c r="M17" i="3"/>
  <c r="K13" i="6" l="1"/>
  <c r="M12" i="6"/>
  <c r="L12" i="6" s="1"/>
  <c r="L13" i="8" s="1"/>
  <c r="B14" i="6"/>
  <c r="D13" i="6"/>
  <c r="C13" i="6" s="1"/>
  <c r="C14" i="8" s="1"/>
  <c r="N53" i="6"/>
  <c r="N53" i="8"/>
  <c r="M7" i="8"/>
  <c r="M7" i="7"/>
  <c r="C20" i="7"/>
  <c r="C9" i="8"/>
  <c r="C21" i="8" s="1"/>
  <c r="K8" i="7"/>
  <c r="B9" i="8"/>
  <c r="B20" i="7"/>
  <c r="L32" i="3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L43" i="3" s="1"/>
  <c r="L44" i="3" s="1"/>
  <c r="M18" i="3"/>
  <c r="D14" i="6" l="1"/>
  <c r="C14" i="6" s="1"/>
  <c r="C15" i="8" s="1"/>
  <c r="B15" i="6"/>
  <c r="N54" i="6"/>
  <c r="N54" i="8"/>
  <c r="M13" i="6"/>
  <c r="K14" i="6"/>
  <c r="L13" i="6"/>
  <c r="L14" i="8" s="1"/>
  <c r="B9" i="7"/>
  <c r="M8" i="7"/>
  <c r="M9" i="8" s="1"/>
  <c r="K9" i="8"/>
  <c r="L45" i="3"/>
  <c r="L46" i="3" s="1"/>
  <c r="L47" i="3" s="1"/>
  <c r="L48" i="3" s="1"/>
  <c r="L49" i="3" s="1"/>
  <c r="L50" i="3" s="1"/>
  <c r="L51" i="3" s="1"/>
  <c r="L52" i="3" s="1"/>
  <c r="L53" i="3" s="1"/>
  <c r="L54" i="3" s="1"/>
  <c r="L55" i="3" s="1"/>
  <c r="L56" i="3" s="1"/>
  <c r="L57" i="3" s="1"/>
  <c r="M31" i="3"/>
  <c r="N55" i="6" l="1"/>
  <c r="N55" i="8"/>
  <c r="M14" i="6"/>
  <c r="L14" i="6" s="1"/>
  <c r="L15" i="8" s="1"/>
  <c r="K15" i="6"/>
  <c r="D15" i="6"/>
  <c r="C15" i="6" s="1"/>
  <c r="C16" i="8" s="1"/>
  <c r="B16" i="6"/>
  <c r="K9" i="7"/>
  <c r="B10" i="8"/>
  <c r="L58" i="3"/>
  <c r="L59" i="3" s="1"/>
  <c r="L60" i="3" s="1"/>
  <c r="L61" i="3" s="1"/>
  <c r="L62" i="3" s="1"/>
  <c r="L63" i="3" s="1"/>
  <c r="L64" i="3" s="1"/>
  <c r="L65" i="3" s="1"/>
  <c r="L66" i="3" s="1"/>
  <c r="L67" i="3" s="1"/>
  <c r="L68" i="3" s="1"/>
  <c r="L69" i="3" s="1"/>
  <c r="L70" i="3" s="1"/>
  <c r="M44" i="3"/>
  <c r="D16" i="6" l="1"/>
  <c r="C16" i="6" s="1"/>
  <c r="C17" i="8" s="1"/>
  <c r="B17" i="6"/>
  <c r="K16" i="6"/>
  <c r="M15" i="6"/>
  <c r="L15" i="6" s="1"/>
  <c r="L16" i="8" s="1"/>
  <c r="N56" i="6"/>
  <c r="N56" i="8"/>
  <c r="B10" i="7"/>
  <c r="M9" i="7"/>
  <c r="M10" i="8" s="1"/>
  <c r="K10" i="8"/>
  <c r="L71" i="3"/>
  <c r="L72" i="3" s="1"/>
  <c r="L73" i="3" s="1"/>
  <c r="L74" i="3" s="1"/>
  <c r="L75" i="3" s="1"/>
  <c r="L76" i="3" s="1"/>
  <c r="L77" i="3" s="1"/>
  <c r="L78" i="3" s="1"/>
  <c r="L79" i="3" s="1"/>
  <c r="L80" i="3" s="1"/>
  <c r="L81" i="3" s="1"/>
  <c r="L82" i="3" s="1"/>
  <c r="L83" i="3" s="1"/>
  <c r="M57" i="3"/>
  <c r="K17" i="6" l="1"/>
  <c r="M16" i="6"/>
  <c r="L16" i="6" s="1"/>
  <c r="L17" i="8" s="1"/>
  <c r="N57" i="6"/>
  <c r="N57" i="8"/>
  <c r="D17" i="6"/>
  <c r="B18" i="6"/>
  <c r="C17" i="6"/>
  <c r="C18" i="8" s="1"/>
  <c r="K10" i="7"/>
  <c r="B11" i="8"/>
  <c r="D10" i="7"/>
  <c r="D11" i="8" s="1"/>
  <c r="L84" i="3"/>
  <c r="L85" i="3" s="1"/>
  <c r="L86" i="3" s="1"/>
  <c r="L87" i="3" s="1"/>
  <c r="L88" i="3" s="1"/>
  <c r="L89" i="3" s="1"/>
  <c r="L90" i="3" s="1"/>
  <c r="L91" i="3" s="1"/>
  <c r="L92" i="3" s="1"/>
  <c r="L93" i="3" s="1"/>
  <c r="L94" i="3" s="1"/>
  <c r="L95" i="3" s="1"/>
  <c r="L96" i="3" s="1"/>
  <c r="M70" i="3"/>
  <c r="N58" i="6" l="1"/>
  <c r="N58" i="8"/>
  <c r="D18" i="6"/>
  <c r="C18" i="6" s="1"/>
  <c r="C19" i="8" s="1"/>
  <c r="B19" i="6"/>
  <c r="K18" i="6"/>
  <c r="M17" i="6"/>
  <c r="L17" i="6" s="1"/>
  <c r="L18" i="8" s="1"/>
  <c r="B11" i="7"/>
  <c r="M10" i="7"/>
  <c r="M11" i="8" s="1"/>
  <c r="K11" i="8"/>
  <c r="L97" i="3"/>
  <c r="L98" i="3" s="1"/>
  <c r="L99" i="3" s="1"/>
  <c r="L100" i="3" s="1"/>
  <c r="L101" i="3" s="1"/>
  <c r="L102" i="3" s="1"/>
  <c r="L103" i="3" s="1"/>
  <c r="L104" i="3" s="1"/>
  <c r="L105" i="3" s="1"/>
  <c r="L106" i="3" s="1"/>
  <c r="L107" i="3" s="1"/>
  <c r="L108" i="3" s="1"/>
  <c r="L109" i="3" s="1"/>
  <c r="M83" i="3"/>
  <c r="B21" i="6" l="1"/>
  <c r="D19" i="6"/>
  <c r="C19" i="6" s="1"/>
  <c r="C20" i="8" s="1"/>
  <c r="K19" i="6"/>
  <c r="M18" i="6"/>
  <c r="L18" i="6" s="1"/>
  <c r="L19" i="8" s="1"/>
  <c r="N59" i="8"/>
  <c r="N60" i="8" s="1"/>
  <c r="N60" i="6"/>
  <c r="N59" i="6"/>
  <c r="K11" i="7"/>
  <c r="B12" i="8"/>
  <c r="D11" i="7"/>
  <c r="D12" i="8" s="1"/>
  <c r="L110" i="3"/>
  <c r="L111" i="3" s="1"/>
  <c r="L112" i="3" s="1"/>
  <c r="L113" i="3" s="1"/>
  <c r="L114" i="3" s="1"/>
  <c r="L115" i="3" s="1"/>
  <c r="L116" i="3" s="1"/>
  <c r="L117" i="3" s="1"/>
  <c r="L118" i="3" s="1"/>
  <c r="L119" i="3" s="1"/>
  <c r="L120" i="3" s="1"/>
  <c r="L121" i="3" s="1"/>
  <c r="L122" i="3" s="1"/>
  <c r="M96" i="3"/>
  <c r="K20" i="6" l="1"/>
  <c r="M19" i="6"/>
  <c r="M20" i="6" s="1"/>
  <c r="K21" i="6"/>
  <c r="N61" i="6"/>
  <c r="N61" i="8"/>
  <c r="D21" i="6"/>
  <c r="C21" i="6" s="1"/>
  <c r="C22" i="8" s="1"/>
  <c r="C34" i="8" s="1"/>
  <c r="B22" i="6"/>
  <c r="B33" i="6"/>
  <c r="D33" i="6" s="1"/>
  <c r="C33" i="6" s="1"/>
  <c r="B12" i="7"/>
  <c r="M11" i="7"/>
  <c r="M12" i="8" s="1"/>
  <c r="K12" i="8"/>
  <c r="L123" i="3"/>
  <c r="L124" i="3" s="1"/>
  <c r="L125" i="3" s="1"/>
  <c r="L126" i="3" s="1"/>
  <c r="L127" i="3" s="1"/>
  <c r="L128" i="3" s="1"/>
  <c r="L129" i="3" s="1"/>
  <c r="L130" i="3" s="1"/>
  <c r="L131" i="3" s="1"/>
  <c r="L132" i="3" s="1"/>
  <c r="L133" i="3" s="1"/>
  <c r="L134" i="3" s="1"/>
  <c r="L135" i="3" s="1"/>
  <c r="M109" i="3"/>
  <c r="D22" i="6" l="1"/>
  <c r="C22" i="6" s="1"/>
  <c r="C23" i="8" s="1"/>
  <c r="B23" i="6"/>
  <c r="L19" i="6"/>
  <c r="K22" i="6"/>
  <c r="L21" i="6"/>
  <c r="L22" i="8" s="1"/>
  <c r="M21" i="6"/>
  <c r="N62" i="6"/>
  <c r="N62" i="8"/>
  <c r="K12" i="7"/>
  <c r="B13" i="8"/>
  <c r="D12" i="7"/>
  <c r="D13" i="8" s="1"/>
  <c r="L136" i="3"/>
  <c r="L137" i="3" s="1"/>
  <c r="L138" i="3" s="1"/>
  <c r="L139" i="3" s="1"/>
  <c r="L140" i="3" s="1"/>
  <c r="L141" i="3" s="1"/>
  <c r="L142" i="3" s="1"/>
  <c r="L143" i="3" s="1"/>
  <c r="L144" i="3" s="1"/>
  <c r="L145" i="3" s="1"/>
  <c r="L146" i="3" s="1"/>
  <c r="L147" i="3" s="1"/>
  <c r="L148" i="3" s="1"/>
  <c r="M122" i="3"/>
  <c r="K23" i="6" l="1"/>
  <c r="M22" i="6"/>
  <c r="L22" i="6" s="1"/>
  <c r="L23" i="8" s="1"/>
  <c r="N63" i="6"/>
  <c r="N63" i="8"/>
  <c r="L20" i="6"/>
  <c r="L20" i="8"/>
  <c r="L21" i="8" s="1"/>
  <c r="B24" i="6"/>
  <c r="C23" i="6"/>
  <c r="C24" i="8" s="1"/>
  <c r="D23" i="6"/>
  <c r="B13" i="7"/>
  <c r="M12" i="7"/>
  <c r="M13" i="8" s="1"/>
  <c r="K13" i="8"/>
  <c r="L149" i="3"/>
  <c r="L150" i="3" s="1"/>
  <c r="L151" i="3" s="1"/>
  <c r="L152" i="3" s="1"/>
  <c r="L153" i="3" s="1"/>
  <c r="L154" i="3" s="1"/>
  <c r="L155" i="3" s="1"/>
  <c r="L156" i="3" s="1"/>
  <c r="L157" i="3" s="1"/>
  <c r="L158" i="3" s="1"/>
  <c r="L159" i="3" s="1"/>
  <c r="L160" i="3" s="1"/>
  <c r="L161" i="3" s="1"/>
  <c r="M135" i="3"/>
  <c r="D24" i="6" l="1"/>
  <c r="C24" i="6" s="1"/>
  <c r="C25" i="8" s="1"/>
  <c r="B25" i="6"/>
  <c r="N64" i="6"/>
  <c r="N64" i="8"/>
  <c r="K24" i="6"/>
  <c r="M23" i="6"/>
  <c r="L23" i="6" s="1"/>
  <c r="L24" i="8" s="1"/>
  <c r="K13" i="7"/>
  <c r="B14" i="8"/>
  <c r="D13" i="7"/>
  <c r="D14" i="8" s="1"/>
  <c r="L20" i="7"/>
  <c r="L162" i="3"/>
  <c r="L163" i="3" s="1"/>
  <c r="L164" i="3" s="1"/>
  <c r="L165" i="3" s="1"/>
  <c r="L166" i="3" s="1"/>
  <c r="L167" i="3" s="1"/>
  <c r="L168" i="3" s="1"/>
  <c r="L169" i="3" s="1"/>
  <c r="L170" i="3" s="1"/>
  <c r="L171" i="3" s="1"/>
  <c r="L172" i="3" s="1"/>
  <c r="L173" i="3" s="1"/>
  <c r="L174" i="3" s="1"/>
  <c r="M148" i="3"/>
  <c r="N65" i="6" l="1"/>
  <c r="N65" i="8"/>
  <c r="K25" i="6"/>
  <c r="M24" i="6"/>
  <c r="L24" i="6" s="1"/>
  <c r="L25" i="8" s="1"/>
  <c r="B26" i="6"/>
  <c r="D25" i="6"/>
  <c r="C25" i="6" s="1"/>
  <c r="C26" i="8" s="1"/>
  <c r="B14" i="7"/>
  <c r="M13" i="7"/>
  <c r="M14" i="8" s="1"/>
  <c r="K14" i="8"/>
  <c r="L175" i="3"/>
  <c r="L176" i="3" s="1"/>
  <c r="L177" i="3" s="1"/>
  <c r="L178" i="3" s="1"/>
  <c r="L179" i="3" s="1"/>
  <c r="L180" i="3" s="1"/>
  <c r="L181" i="3" s="1"/>
  <c r="L182" i="3" s="1"/>
  <c r="L183" i="3" s="1"/>
  <c r="L184" i="3" s="1"/>
  <c r="L185" i="3" s="1"/>
  <c r="L186" i="3" s="1"/>
  <c r="L187" i="3" s="1"/>
  <c r="M161" i="3"/>
  <c r="K26" i="6" l="1"/>
  <c r="M25" i="6"/>
  <c r="L25" i="6" s="1"/>
  <c r="L26" i="8" s="1"/>
  <c r="D26" i="6"/>
  <c r="C26" i="6" s="1"/>
  <c r="C27" i="8" s="1"/>
  <c r="B27" i="6"/>
  <c r="N66" i="6"/>
  <c r="N66" i="8"/>
  <c r="K14" i="7"/>
  <c r="B15" i="8"/>
  <c r="D14" i="7"/>
  <c r="D15" i="8" s="1"/>
  <c r="L188" i="3"/>
  <c r="L189" i="3" s="1"/>
  <c r="L190" i="3" s="1"/>
  <c r="L191" i="3" s="1"/>
  <c r="L192" i="3" s="1"/>
  <c r="L193" i="3" s="1"/>
  <c r="L194" i="3" s="1"/>
  <c r="L195" i="3" s="1"/>
  <c r="L196" i="3" s="1"/>
  <c r="L197" i="3" s="1"/>
  <c r="M174" i="3"/>
  <c r="D27" i="6" l="1"/>
  <c r="C27" i="6" s="1"/>
  <c r="C28" i="8" s="1"/>
  <c r="B28" i="6"/>
  <c r="N67" i="6"/>
  <c r="N67" i="8"/>
  <c r="K27" i="6"/>
  <c r="M26" i="6"/>
  <c r="L26" i="6" s="1"/>
  <c r="L27" i="8" s="1"/>
  <c r="B15" i="7"/>
  <c r="M14" i="7"/>
  <c r="M15" i="8" s="1"/>
  <c r="K15" i="8"/>
  <c r="L200" i="3"/>
  <c r="L198" i="3"/>
  <c r="L199" i="3" s="1"/>
  <c r="N68" i="6" l="1"/>
  <c r="N68" i="8"/>
  <c r="K28" i="6"/>
  <c r="M27" i="6"/>
  <c r="L27" i="6" s="1"/>
  <c r="L28" i="8" s="1"/>
  <c r="B29" i="6"/>
  <c r="D28" i="6"/>
  <c r="C28" i="6" s="1"/>
  <c r="C29" i="8" s="1"/>
  <c r="K15" i="7"/>
  <c r="B16" i="8"/>
  <c r="D15" i="7"/>
  <c r="D16" i="8" s="1"/>
  <c r="L204" i="3"/>
  <c r="L201" i="3"/>
  <c r="M187" i="3"/>
  <c r="M28" i="6" l="1"/>
  <c r="L28" i="6" s="1"/>
  <c r="L29" i="8" s="1"/>
  <c r="K29" i="6"/>
  <c r="B30" i="6"/>
  <c r="D29" i="6"/>
  <c r="C29" i="6" s="1"/>
  <c r="C30" i="8" s="1"/>
  <c r="N69" i="6"/>
  <c r="N69" i="8"/>
  <c r="B16" i="7"/>
  <c r="M15" i="7"/>
  <c r="M16" i="8" s="1"/>
  <c r="K16" i="8"/>
  <c r="B31" i="6" l="1"/>
  <c r="D30" i="6"/>
  <c r="C30" i="6" s="1"/>
  <c r="C31" i="8" s="1"/>
  <c r="N70" i="8"/>
  <c r="N70" i="6"/>
  <c r="K30" i="6"/>
  <c r="M29" i="6"/>
  <c r="L29" i="6"/>
  <c r="L30" i="8" s="1"/>
  <c r="K16" i="7"/>
  <c r="B17" i="8"/>
  <c r="D16" i="7"/>
  <c r="D17" i="8" s="1"/>
  <c r="N71" i="6" l="1"/>
  <c r="N71" i="8"/>
  <c r="M30" i="6"/>
  <c r="L30" i="6" s="1"/>
  <c r="L31" i="8" s="1"/>
  <c r="K31" i="6"/>
  <c r="B32" i="6"/>
  <c r="D31" i="6"/>
  <c r="C31" i="6" s="1"/>
  <c r="C32" i="8" s="1"/>
  <c r="B17" i="7"/>
  <c r="M16" i="7"/>
  <c r="M17" i="8" s="1"/>
  <c r="K17" i="8"/>
  <c r="B34" i="6" l="1"/>
  <c r="D32" i="6"/>
  <c r="C32" i="6" s="1"/>
  <c r="C33" i="8" s="1"/>
  <c r="M31" i="6"/>
  <c r="K32" i="6"/>
  <c r="L31" i="6"/>
  <c r="L32" i="8" s="1"/>
  <c r="N72" i="8"/>
  <c r="N73" i="8" s="1"/>
  <c r="N73" i="6"/>
  <c r="N72" i="6"/>
  <c r="K17" i="7"/>
  <c r="B18" i="8"/>
  <c r="D17" i="7"/>
  <c r="D18" i="8" s="1"/>
  <c r="M32" i="6" l="1"/>
  <c r="M33" i="6" s="1"/>
  <c r="K34" i="6"/>
  <c r="L32" i="6"/>
  <c r="K33" i="6"/>
  <c r="N74" i="8"/>
  <c r="N74" i="6"/>
  <c r="B46" i="6"/>
  <c r="B35" i="6"/>
  <c r="D34" i="6"/>
  <c r="C34" i="6" s="1"/>
  <c r="C35" i="8" s="1"/>
  <c r="C47" i="8" s="1"/>
  <c r="B18" i="7"/>
  <c r="M17" i="7"/>
  <c r="M18" i="8" s="1"/>
  <c r="K18" i="8"/>
  <c r="B36" i="6" l="1"/>
  <c r="D35" i="6"/>
  <c r="C35" i="6" s="1"/>
  <c r="C36" i="8" s="1"/>
  <c r="D46" i="6"/>
  <c r="C46" i="6" s="1"/>
  <c r="L33" i="6"/>
  <c r="L33" i="8"/>
  <c r="L34" i="8" s="1"/>
  <c r="N75" i="6"/>
  <c r="N75" i="8"/>
  <c r="K35" i="6"/>
  <c r="M34" i="6"/>
  <c r="L34" i="6" s="1"/>
  <c r="L35" i="8" s="1"/>
  <c r="K18" i="7"/>
  <c r="B19" i="8"/>
  <c r="D18" i="7"/>
  <c r="D19" i="8" s="1"/>
  <c r="N76" i="8" l="1"/>
  <c r="N76" i="6"/>
  <c r="K36" i="6"/>
  <c r="M35" i="6"/>
  <c r="L35" i="6" s="1"/>
  <c r="L36" i="8" s="1"/>
  <c r="D36" i="6"/>
  <c r="B37" i="6"/>
  <c r="C36" i="6"/>
  <c r="C37" i="8" s="1"/>
  <c r="B19" i="7"/>
  <c r="M18" i="7"/>
  <c r="M19" i="8" s="1"/>
  <c r="K19" i="8"/>
  <c r="B38" i="6" l="1"/>
  <c r="D37" i="6"/>
  <c r="C37" i="6" s="1"/>
  <c r="C38" i="8" s="1"/>
  <c r="K37" i="6"/>
  <c r="M36" i="6"/>
  <c r="L36" i="6"/>
  <c r="L37" i="8" s="1"/>
  <c r="N77" i="6"/>
  <c r="N77" i="8"/>
  <c r="K19" i="7"/>
  <c r="B20" i="8"/>
  <c r="D19" i="7"/>
  <c r="D20" i="8" s="1"/>
  <c r="K38" i="6" l="1"/>
  <c r="M37" i="6"/>
  <c r="L37" i="6" s="1"/>
  <c r="L38" i="8" s="1"/>
  <c r="N78" i="8"/>
  <c r="N78" i="6"/>
  <c r="B39" i="6"/>
  <c r="D38" i="6"/>
  <c r="C38" i="6" s="1"/>
  <c r="C39" i="8" s="1"/>
  <c r="M19" i="7"/>
  <c r="K20" i="8"/>
  <c r="K20" i="7"/>
  <c r="B21" i="7" s="1"/>
  <c r="L33" i="7"/>
  <c r="B40" i="6" l="1"/>
  <c r="D39" i="6"/>
  <c r="C39" i="6" s="1"/>
  <c r="C40" i="8" s="1"/>
  <c r="N79" i="6"/>
  <c r="N79" i="8"/>
  <c r="K39" i="6"/>
  <c r="M38" i="6"/>
  <c r="L38" i="6"/>
  <c r="L39" i="8" s="1"/>
  <c r="K21" i="7"/>
  <c r="B33" i="7"/>
  <c r="B22" i="8"/>
  <c r="B34" i="8" s="1"/>
  <c r="D21" i="7"/>
  <c r="M20" i="8"/>
  <c r="M20" i="7"/>
  <c r="N80" i="6" l="1"/>
  <c r="N80" i="8"/>
  <c r="M39" i="6"/>
  <c r="L39" i="6" s="1"/>
  <c r="L40" i="8" s="1"/>
  <c r="K40" i="6"/>
  <c r="B41" i="6"/>
  <c r="D40" i="6"/>
  <c r="C40" i="6" s="1"/>
  <c r="C41" i="8" s="1"/>
  <c r="D33" i="7"/>
  <c r="D22" i="8"/>
  <c r="D34" i="8" s="1"/>
  <c r="B22" i="7"/>
  <c r="K22" i="8"/>
  <c r="M21" i="7"/>
  <c r="M22" i="8" s="1"/>
  <c r="K41" i="6" l="1"/>
  <c r="M40" i="6"/>
  <c r="L40" i="6"/>
  <c r="L41" i="8" s="1"/>
  <c r="B42" i="6"/>
  <c r="D41" i="6"/>
  <c r="C41" i="6" s="1"/>
  <c r="C42" i="8" s="1"/>
  <c r="N81" i="8"/>
  <c r="N81" i="6"/>
  <c r="K22" i="7"/>
  <c r="B23" i="8"/>
  <c r="D22" i="7"/>
  <c r="D23" i="8" s="1"/>
  <c r="B43" i="6" l="1"/>
  <c r="D42" i="6"/>
  <c r="C42" i="6" s="1"/>
  <c r="C43" i="8" s="1"/>
  <c r="M41" i="6"/>
  <c r="L41" i="6" s="1"/>
  <c r="L42" i="8" s="1"/>
  <c r="K42" i="6"/>
  <c r="N82" i="8"/>
  <c r="N82" i="6"/>
  <c r="B23" i="7"/>
  <c r="K23" i="8"/>
  <c r="M22" i="7"/>
  <c r="M23" i="8" s="1"/>
  <c r="N83" i="6" l="1"/>
  <c r="N83" i="8"/>
  <c r="K43" i="6"/>
  <c r="M42" i="6"/>
  <c r="L42" i="6" s="1"/>
  <c r="L43" i="8" s="1"/>
  <c r="B44" i="6"/>
  <c r="D43" i="6"/>
  <c r="C43" i="6" s="1"/>
  <c r="C44" i="8" s="1"/>
  <c r="K23" i="7"/>
  <c r="B24" i="8"/>
  <c r="D23" i="7"/>
  <c r="D24" i="8" s="1"/>
  <c r="N84" i="6" l="1"/>
  <c r="N84" i="8"/>
  <c r="K44" i="6"/>
  <c r="M43" i="6"/>
  <c r="L43" i="6" s="1"/>
  <c r="L44" i="8" s="1"/>
  <c r="B45" i="6"/>
  <c r="D44" i="6"/>
  <c r="C44" i="6"/>
  <c r="C45" i="8" s="1"/>
  <c r="B24" i="7"/>
  <c r="K24" i="8"/>
  <c r="M23" i="7"/>
  <c r="M24" i="8" s="1"/>
  <c r="K45" i="6" l="1"/>
  <c r="M44" i="6"/>
  <c r="L44" i="6" s="1"/>
  <c r="L45" i="8" s="1"/>
  <c r="B47" i="6"/>
  <c r="D45" i="6"/>
  <c r="C45" i="6" s="1"/>
  <c r="C46" i="8" s="1"/>
  <c r="N86" i="6"/>
  <c r="N85" i="6"/>
  <c r="N85" i="8"/>
  <c r="N86" i="8" s="1"/>
  <c r="K24" i="7"/>
  <c r="B25" i="8"/>
  <c r="D24" i="7"/>
  <c r="D25" i="8" s="1"/>
  <c r="D47" i="6" l="1"/>
  <c r="C47" i="6" s="1"/>
  <c r="C48" i="8" s="1"/>
  <c r="C60" i="8" s="1"/>
  <c r="B48" i="6"/>
  <c r="B59" i="6"/>
  <c r="D59" i="6" s="1"/>
  <c r="C59" i="6" s="1"/>
  <c r="N87" i="8"/>
  <c r="N87" i="6"/>
  <c r="M45" i="6"/>
  <c r="M46" i="6" s="1"/>
  <c r="K47" i="6"/>
  <c r="K46" i="6"/>
  <c r="B25" i="7"/>
  <c r="K25" i="8"/>
  <c r="M24" i="7"/>
  <c r="M25" i="8" s="1"/>
  <c r="N88" i="6" l="1"/>
  <c r="N88" i="8"/>
  <c r="L45" i="6"/>
  <c r="K48" i="6"/>
  <c r="M47" i="6"/>
  <c r="L47" i="6" s="1"/>
  <c r="L48" i="8" s="1"/>
  <c r="B49" i="6"/>
  <c r="D48" i="6"/>
  <c r="C48" i="6" s="1"/>
  <c r="C49" i="8" s="1"/>
  <c r="K25" i="7"/>
  <c r="B26" i="8"/>
  <c r="D25" i="7"/>
  <c r="D26" i="8" s="1"/>
  <c r="M48" i="6" l="1"/>
  <c r="L48" i="6" s="1"/>
  <c r="L49" i="8" s="1"/>
  <c r="K49" i="6"/>
  <c r="L46" i="6"/>
  <c r="L46" i="8"/>
  <c r="L47" i="8" s="1"/>
  <c r="D49" i="6"/>
  <c r="C49" i="6" s="1"/>
  <c r="C50" i="8" s="1"/>
  <c r="B50" i="6"/>
  <c r="N89" i="8"/>
  <c r="N89" i="6"/>
  <c r="B26" i="7"/>
  <c r="K26" i="8"/>
  <c r="M25" i="7"/>
  <c r="M26" i="8" s="1"/>
  <c r="N90" i="8" l="1"/>
  <c r="N90" i="6"/>
  <c r="D50" i="6"/>
  <c r="C50" i="6" s="1"/>
  <c r="C51" i="8" s="1"/>
  <c r="B51" i="6"/>
  <c r="K50" i="6"/>
  <c r="M49" i="6"/>
  <c r="L49" i="6" s="1"/>
  <c r="L50" i="8" s="1"/>
  <c r="K26" i="7"/>
  <c r="B27" i="8"/>
  <c r="D26" i="7"/>
  <c r="D27" i="8" s="1"/>
  <c r="L46" i="7"/>
  <c r="B52" i="6" l="1"/>
  <c r="D51" i="6"/>
  <c r="C51" i="6" s="1"/>
  <c r="C52" i="8" s="1"/>
  <c r="N91" i="8"/>
  <c r="N91" i="6"/>
  <c r="M50" i="6"/>
  <c r="L50" i="6" s="1"/>
  <c r="L51" i="8" s="1"/>
  <c r="K51" i="6"/>
  <c r="B27" i="7"/>
  <c r="K27" i="8"/>
  <c r="M26" i="7"/>
  <c r="M27" i="8" s="1"/>
  <c r="N92" i="6" l="1"/>
  <c r="N92" i="8"/>
  <c r="K52" i="6"/>
  <c r="M51" i="6"/>
  <c r="L51" i="6" s="1"/>
  <c r="L52" i="8" s="1"/>
  <c r="D52" i="6"/>
  <c r="C52" i="6" s="1"/>
  <c r="C53" i="8" s="1"/>
  <c r="B53" i="6"/>
  <c r="K27" i="7"/>
  <c r="B28" i="8"/>
  <c r="D27" i="7"/>
  <c r="D28" i="8" s="1"/>
  <c r="K53" i="6" l="1"/>
  <c r="M52" i="6"/>
  <c r="L52" i="6" s="1"/>
  <c r="L53" i="8" s="1"/>
  <c r="B54" i="6"/>
  <c r="D53" i="6"/>
  <c r="C53" i="6" s="1"/>
  <c r="C54" i="8" s="1"/>
  <c r="N93" i="6"/>
  <c r="N93" i="8"/>
  <c r="B28" i="7"/>
  <c r="K28" i="8"/>
  <c r="M27" i="7"/>
  <c r="M28" i="8" s="1"/>
  <c r="B55" i="6" l="1"/>
  <c r="D54" i="6"/>
  <c r="C54" i="6" s="1"/>
  <c r="C55" i="8" s="1"/>
  <c r="N94" i="8"/>
  <c r="N94" i="6"/>
  <c r="K54" i="6"/>
  <c r="M53" i="6"/>
  <c r="L53" i="6" s="1"/>
  <c r="L54" i="8" s="1"/>
  <c r="K28" i="7"/>
  <c r="B29" i="8"/>
  <c r="D28" i="7"/>
  <c r="D29" i="8" s="1"/>
  <c r="N95" i="8" l="1"/>
  <c r="N95" i="6"/>
  <c r="K55" i="6"/>
  <c r="M54" i="6"/>
  <c r="L54" i="6" s="1"/>
  <c r="L55" i="8" s="1"/>
  <c r="D55" i="6"/>
  <c r="C55" i="6" s="1"/>
  <c r="C56" i="8" s="1"/>
  <c r="B56" i="6"/>
  <c r="B29" i="7"/>
  <c r="K29" i="8"/>
  <c r="M28" i="7"/>
  <c r="M29" i="8" s="1"/>
  <c r="B57" i="6" l="1"/>
  <c r="D56" i="6"/>
  <c r="C56" i="6" s="1"/>
  <c r="C57" i="8" s="1"/>
  <c r="K56" i="6"/>
  <c r="M55" i="6"/>
  <c r="L55" i="6" s="1"/>
  <c r="L56" i="8" s="1"/>
  <c r="N96" i="8"/>
  <c r="N96" i="6"/>
  <c r="K29" i="7"/>
  <c r="B30" i="8"/>
  <c r="D29" i="7"/>
  <c r="D30" i="8" s="1"/>
  <c r="N97" i="6" l="1"/>
  <c r="N97" i="8"/>
  <c r="B58" i="6"/>
  <c r="D57" i="6"/>
  <c r="C57" i="6" s="1"/>
  <c r="C58" i="8" s="1"/>
  <c r="M56" i="6"/>
  <c r="L56" i="6" s="1"/>
  <c r="L57" i="8" s="1"/>
  <c r="K57" i="6"/>
  <c r="B30" i="7"/>
  <c r="K30" i="8"/>
  <c r="M29" i="7"/>
  <c r="M30" i="8" s="1"/>
  <c r="M57" i="6" l="1"/>
  <c r="L57" i="6" s="1"/>
  <c r="L58" i="8" s="1"/>
  <c r="K58" i="6"/>
  <c r="B60" i="6"/>
  <c r="D58" i="6"/>
  <c r="C58" i="6" s="1"/>
  <c r="C59" i="8" s="1"/>
  <c r="N98" i="8"/>
  <c r="N99" i="8" s="1"/>
  <c r="N98" i="6"/>
  <c r="N99" i="6"/>
  <c r="K30" i="7"/>
  <c r="B31" i="8"/>
  <c r="D30" i="7"/>
  <c r="D31" i="8" s="1"/>
  <c r="N100" i="6" l="1"/>
  <c r="N100" i="8"/>
  <c r="B72" i="6"/>
  <c r="D72" i="6" s="1"/>
  <c r="C72" i="6" s="1"/>
  <c r="B61" i="6"/>
  <c r="D60" i="6"/>
  <c r="C60" i="6" s="1"/>
  <c r="C61" i="8" s="1"/>
  <c r="C73" i="8" s="1"/>
  <c r="M58" i="6"/>
  <c r="M59" i="6" s="1"/>
  <c r="K60" i="6"/>
  <c r="K59" i="6"/>
  <c r="B31" i="7"/>
  <c r="K31" i="8"/>
  <c r="M30" i="7"/>
  <c r="M31" i="8" s="1"/>
  <c r="L58" i="6" l="1"/>
  <c r="D61" i="6"/>
  <c r="C61" i="6" s="1"/>
  <c r="C62" i="8" s="1"/>
  <c r="B62" i="6"/>
  <c r="K61" i="6"/>
  <c r="M60" i="6"/>
  <c r="L60" i="6" s="1"/>
  <c r="L61" i="8" s="1"/>
  <c r="L59" i="6"/>
  <c r="L59" i="8"/>
  <c r="L60" i="8" s="1"/>
  <c r="N101" i="8"/>
  <c r="N101" i="6"/>
  <c r="K31" i="7"/>
  <c r="B32" i="8"/>
  <c r="D31" i="7"/>
  <c r="D32" i="8" s="1"/>
  <c r="M61" i="6" l="1"/>
  <c r="L61" i="6" s="1"/>
  <c r="L62" i="8" s="1"/>
  <c r="K62" i="6"/>
  <c r="D62" i="6"/>
  <c r="C62" i="6" s="1"/>
  <c r="C63" i="8" s="1"/>
  <c r="B63" i="6"/>
  <c r="N102" i="6"/>
  <c r="N102" i="8"/>
  <c r="B32" i="7"/>
  <c r="K32" i="8"/>
  <c r="M31" i="7"/>
  <c r="M32" i="8" s="1"/>
  <c r="B64" i="6" l="1"/>
  <c r="D63" i="6"/>
  <c r="C63" i="6" s="1"/>
  <c r="C64" i="8" s="1"/>
  <c r="K63" i="6"/>
  <c r="M62" i="6"/>
  <c r="L62" i="6" s="1"/>
  <c r="L63" i="8" s="1"/>
  <c r="N103" i="8"/>
  <c r="N103" i="6"/>
  <c r="K32" i="7"/>
  <c r="B33" i="8"/>
  <c r="D32" i="7"/>
  <c r="D33" i="8" s="1"/>
  <c r="M63" i="6" l="1"/>
  <c r="L63" i="6"/>
  <c r="L64" i="8" s="1"/>
  <c r="K64" i="6"/>
  <c r="N104" i="8"/>
  <c r="N104" i="6"/>
  <c r="D64" i="6"/>
  <c r="B65" i="6"/>
  <c r="C64" i="6"/>
  <c r="C65" i="8" s="1"/>
  <c r="K33" i="8"/>
  <c r="K34" i="8" s="1"/>
  <c r="M32" i="7"/>
  <c r="K33" i="7"/>
  <c r="B34" i="7" s="1"/>
  <c r="I203" i="8"/>
  <c r="L59" i="7"/>
  <c r="B66" i="6" l="1"/>
  <c r="D65" i="6"/>
  <c r="C65" i="6" s="1"/>
  <c r="C66" i="8" s="1"/>
  <c r="K65" i="6"/>
  <c r="M64" i="6"/>
  <c r="L64" i="6" s="1"/>
  <c r="L65" i="8" s="1"/>
  <c r="N105" i="6"/>
  <c r="N105" i="8"/>
  <c r="K34" i="7"/>
  <c r="B46" i="7"/>
  <c r="B35" i="8"/>
  <c r="B47" i="8" s="1"/>
  <c r="D34" i="7"/>
  <c r="M33" i="8"/>
  <c r="M34" i="8" s="1"/>
  <c r="M33" i="7"/>
  <c r="K66" i="6" l="1"/>
  <c r="M65" i="6"/>
  <c r="L65" i="6" s="1"/>
  <c r="L66" i="8" s="1"/>
  <c r="N106" i="6"/>
  <c r="N106" i="8"/>
  <c r="B67" i="6"/>
  <c r="D66" i="6"/>
  <c r="C66" i="6" s="1"/>
  <c r="C67" i="8" s="1"/>
  <c r="D46" i="7"/>
  <c r="D35" i="8"/>
  <c r="D47" i="8" s="1"/>
  <c r="B35" i="7"/>
  <c r="K35" i="8"/>
  <c r="M34" i="7"/>
  <c r="M35" i="8" s="1"/>
  <c r="G203" i="8"/>
  <c r="N107" i="6" l="1"/>
  <c r="N107" i="8"/>
  <c r="D67" i="6"/>
  <c r="C67" i="6"/>
  <c r="C68" i="8" s="1"/>
  <c r="B68" i="6"/>
  <c r="K67" i="6"/>
  <c r="M66" i="6"/>
  <c r="L66" i="6" s="1"/>
  <c r="L67" i="8" s="1"/>
  <c r="K35" i="7"/>
  <c r="B36" i="8"/>
  <c r="D35" i="7"/>
  <c r="D36" i="8" s="1"/>
  <c r="G206" i="8"/>
  <c r="F206" i="8" s="1"/>
  <c r="F203" i="8"/>
  <c r="H203" i="8"/>
  <c r="H206" i="8" s="1"/>
  <c r="H216" i="8" l="1"/>
  <c r="H213" i="8"/>
  <c r="M67" i="6"/>
  <c r="L67" i="6" s="1"/>
  <c r="L68" i="8" s="1"/>
  <c r="K68" i="6"/>
  <c r="D68" i="6"/>
  <c r="C68" i="6" s="1"/>
  <c r="C69" i="8" s="1"/>
  <c r="B69" i="6"/>
  <c r="N108" i="6"/>
  <c r="N108" i="8"/>
  <c r="B36" i="7"/>
  <c r="K36" i="8"/>
  <c r="M35" i="7"/>
  <c r="M36" i="8" s="1"/>
  <c r="I205" i="8"/>
  <c r="I206" i="8" s="1"/>
  <c r="B206" i="8"/>
  <c r="B8" i="8"/>
  <c r="K69" i="6" l="1"/>
  <c r="M68" i="6"/>
  <c r="L68" i="6" s="1"/>
  <c r="L69" i="8" s="1"/>
  <c r="D69" i="6"/>
  <c r="C69" i="6" s="1"/>
  <c r="C70" i="8" s="1"/>
  <c r="B70" i="6"/>
  <c r="N109" i="8"/>
  <c r="N109" i="6"/>
  <c r="K36" i="7"/>
  <c r="B37" i="8"/>
  <c r="D36" i="7"/>
  <c r="D37" i="8" s="1"/>
  <c r="K206" i="8"/>
  <c r="D8" i="8"/>
  <c r="D206" i="8"/>
  <c r="N110" i="6" l="1"/>
  <c r="N110" i="8"/>
  <c r="B71" i="6"/>
  <c r="D70" i="6"/>
  <c r="C70" i="6" s="1"/>
  <c r="C71" i="8" s="1"/>
  <c r="M69" i="6"/>
  <c r="L69" i="6" s="1"/>
  <c r="L70" i="8" s="1"/>
  <c r="K70" i="6"/>
  <c r="B37" i="7"/>
  <c r="K37" i="8"/>
  <c r="M36" i="7"/>
  <c r="M37" i="8" s="1"/>
  <c r="K8" i="8"/>
  <c r="M8" i="8"/>
  <c r="B73" i="6" l="1"/>
  <c r="D71" i="6"/>
  <c r="C71" i="6" s="1"/>
  <c r="C72" i="8" s="1"/>
  <c r="K71" i="6"/>
  <c r="M70" i="6"/>
  <c r="L70" i="6" s="1"/>
  <c r="L71" i="8" s="1"/>
  <c r="N112" i="6"/>
  <c r="N111" i="8"/>
  <c r="N112" i="8" s="1"/>
  <c r="N111" i="6"/>
  <c r="K37" i="7"/>
  <c r="B38" i="8"/>
  <c r="D37" i="7"/>
  <c r="D38" i="8" s="1"/>
  <c r="B21" i="8"/>
  <c r="M71" i="6" l="1"/>
  <c r="M72" i="6" s="1"/>
  <c r="K73" i="6"/>
  <c r="K72" i="6"/>
  <c r="L71" i="6"/>
  <c r="N113" i="8"/>
  <c r="N113" i="6"/>
  <c r="D73" i="6"/>
  <c r="C73" i="6" s="1"/>
  <c r="C74" i="8" s="1"/>
  <c r="C86" i="8" s="1"/>
  <c r="B85" i="6"/>
  <c r="D85" i="6" s="1"/>
  <c r="C85" i="6" s="1"/>
  <c r="B74" i="6"/>
  <c r="B38" i="7"/>
  <c r="K38" i="8"/>
  <c r="M37" i="7"/>
  <c r="M38" i="8" s="1"/>
  <c r="N114" i="6" l="1"/>
  <c r="N114" i="8"/>
  <c r="M73" i="6"/>
  <c r="K74" i="6"/>
  <c r="L73" i="6"/>
  <c r="L74" i="8" s="1"/>
  <c r="L72" i="6"/>
  <c r="L72" i="8"/>
  <c r="L73" i="8" s="1"/>
  <c r="B75" i="6"/>
  <c r="D74" i="6"/>
  <c r="C74" i="6" s="1"/>
  <c r="C75" i="8" s="1"/>
  <c r="K38" i="7"/>
  <c r="B39" i="8"/>
  <c r="D38" i="7"/>
  <c r="D39" i="8" s="1"/>
  <c r="B76" i="6" l="1"/>
  <c r="D75" i="6"/>
  <c r="C75" i="6" s="1"/>
  <c r="C76" i="8" s="1"/>
  <c r="K75" i="6"/>
  <c r="M74" i="6"/>
  <c r="L74" i="6" s="1"/>
  <c r="L75" i="8" s="1"/>
  <c r="N115" i="6"/>
  <c r="N115" i="8"/>
  <c r="B39" i="7"/>
  <c r="K39" i="8"/>
  <c r="M38" i="7"/>
  <c r="M39" i="8" s="1"/>
  <c r="M75" i="6" l="1"/>
  <c r="L75" i="6" s="1"/>
  <c r="L76" i="8" s="1"/>
  <c r="K76" i="6"/>
  <c r="N116" i="8"/>
  <c r="N116" i="6"/>
  <c r="B77" i="6"/>
  <c r="D76" i="6"/>
  <c r="C76" i="6" s="1"/>
  <c r="C77" i="8" s="1"/>
  <c r="K39" i="7"/>
  <c r="B40" i="8"/>
  <c r="D39" i="7"/>
  <c r="D40" i="8" s="1"/>
  <c r="B78" i="6" l="1"/>
  <c r="D77" i="6"/>
  <c r="C77" i="6" s="1"/>
  <c r="C78" i="8" s="1"/>
  <c r="N117" i="6"/>
  <c r="N117" i="8"/>
  <c r="M76" i="6"/>
  <c r="K77" i="6"/>
  <c r="L76" i="6"/>
  <c r="L77" i="8" s="1"/>
  <c r="B40" i="7"/>
  <c r="K40" i="8"/>
  <c r="M39" i="7"/>
  <c r="M40" i="8" s="1"/>
  <c r="L72" i="7"/>
  <c r="M202" i="6"/>
  <c r="N118" i="8" l="1"/>
  <c r="N118" i="6"/>
  <c r="K78" i="6"/>
  <c r="M77" i="6"/>
  <c r="L77" i="6" s="1"/>
  <c r="L78" i="8" s="1"/>
  <c r="B79" i="6"/>
  <c r="D78" i="6"/>
  <c r="C78" i="6" s="1"/>
  <c r="C79" i="8" s="1"/>
  <c r="K40" i="7"/>
  <c r="B41" i="8"/>
  <c r="D40" i="7"/>
  <c r="D41" i="8" s="1"/>
  <c r="B80" i="6" l="1"/>
  <c r="D79" i="6"/>
  <c r="C79" i="6" s="1"/>
  <c r="C80" i="8" s="1"/>
  <c r="M78" i="6"/>
  <c r="L78" i="6" s="1"/>
  <c r="L79" i="8" s="1"/>
  <c r="K79" i="6"/>
  <c r="N119" i="6"/>
  <c r="N119" i="8"/>
  <c r="B41" i="7"/>
  <c r="K41" i="8"/>
  <c r="M40" i="7"/>
  <c r="M41" i="8" s="1"/>
  <c r="N120" i="6" l="1"/>
  <c r="N120" i="8"/>
  <c r="M79" i="6"/>
  <c r="L79" i="6"/>
  <c r="L80" i="8" s="1"/>
  <c r="K80" i="6"/>
  <c r="B81" i="6"/>
  <c r="D80" i="6"/>
  <c r="C80" i="6" s="1"/>
  <c r="C81" i="8" s="1"/>
  <c r="K41" i="7"/>
  <c r="B42" i="8"/>
  <c r="D41" i="7"/>
  <c r="D42" i="8" s="1"/>
  <c r="L85" i="7"/>
  <c r="B82" i="6" l="1"/>
  <c r="D81" i="6"/>
  <c r="C81" i="6" s="1"/>
  <c r="C82" i="8" s="1"/>
  <c r="K81" i="6"/>
  <c r="M80" i="6"/>
  <c r="L80" i="6" s="1"/>
  <c r="L81" i="8" s="1"/>
  <c r="N121" i="6"/>
  <c r="N121" i="8"/>
  <c r="B42" i="7"/>
  <c r="K42" i="8"/>
  <c r="M41" i="7"/>
  <c r="M42" i="8" s="1"/>
  <c r="N122" i="8" l="1"/>
  <c r="N122" i="6"/>
  <c r="M81" i="6"/>
  <c r="L81" i="6" s="1"/>
  <c r="L82" i="8" s="1"/>
  <c r="K82" i="6"/>
  <c r="B83" i="6"/>
  <c r="D82" i="6"/>
  <c r="C82" i="6" s="1"/>
  <c r="C83" i="8" s="1"/>
  <c r="K42" i="7"/>
  <c r="B43" i="8"/>
  <c r="D42" i="7"/>
  <c r="D43" i="8" s="1"/>
  <c r="L98" i="7"/>
  <c r="M82" i="6" l="1"/>
  <c r="K83" i="6"/>
  <c r="L82" i="6"/>
  <c r="L83" i="8" s="1"/>
  <c r="B84" i="6"/>
  <c r="D83" i="6"/>
  <c r="C83" i="6" s="1"/>
  <c r="C84" i="8" s="1"/>
  <c r="N123" i="6"/>
  <c r="N123" i="8"/>
  <c r="B43" i="7"/>
  <c r="K43" i="8"/>
  <c r="M42" i="7"/>
  <c r="M43" i="8" s="1"/>
  <c r="B86" i="6" l="1"/>
  <c r="D84" i="6"/>
  <c r="C84" i="6" s="1"/>
  <c r="C85" i="8" s="1"/>
  <c r="N124" i="8"/>
  <c r="N125" i="8" s="1"/>
  <c r="N124" i="6"/>
  <c r="N125" i="6"/>
  <c r="M83" i="6"/>
  <c r="L83" i="6" s="1"/>
  <c r="L84" i="8" s="1"/>
  <c r="K84" i="6"/>
  <c r="K43" i="7"/>
  <c r="B44" i="8"/>
  <c r="D43" i="7"/>
  <c r="D44" i="8" s="1"/>
  <c r="L111" i="7"/>
  <c r="M84" i="6" l="1"/>
  <c r="M85" i="6" s="1"/>
  <c r="K85" i="6"/>
  <c r="K86" i="6"/>
  <c r="N126" i="6"/>
  <c r="N126" i="8"/>
  <c r="D86" i="6"/>
  <c r="C86" i="6" s="1"/>
  <c r="C87" i="8" s="1"/>
  <c r="C99" i="8" s="1"/>
  <c r="B87" i="6"/>
  <c r="B98" i="6"/>
  <c r="D98" i="6" s="1"/>
  <c r="C98" i="6" s="1"/>
  <c r="B44" i="7"/>
  <c r="K44" i="8"/>
  <c r="M43" i="7"/>
  <c r="M44" i="8" s="1"/>
  <c r="L84" i="6" l="1"/>
  <c r="D87" i="6"/>
  <c r="C87" i="6" s="1"/>
  <c r="C88" i="8" s="1"/>
  <c r="B88" i="6"/>
  <c r="M86" i="6"/>
  <c r="K87" i="6"/>
  <c r="L86" i="6"/>
  <c r="L87" i="8" s="1"/>
  <c r="L85" i="6"/>
  <c r="L85" i="8"/>
  <c r="L86" i="8" s="1"/>
  <c r="N127" i="6"/>
  <c r="N127" i="8"/>
  <c r="K44" i="7"/>
  <c r="B45" i="8"/>
  <c r="D44" i="7"/>
  <c r="D45" i="8" s="1"/>
  <c r="L124" i="7"/>
  <c r="N128" i="6" l="1"/>
  <c r="N128" i="8"/>
  <c r="M87" i="6"/>
  <c r="L87" i="6" s="1"/>
  <c r="L88" i="8" s="1"/>
  <c r="K88" i="6"/>
  <c r="B89" i="6"/>
  <c r="D88" i="6"/>
  <c r="C88" i="6" s="1"/>
  <c r="C89" i="8" s="1"/>
  <c r="B45" i="7"/>
  <c r="K45" i="8"/>
  <c r="M44" i="7"/>
  <c r="M45" i="8" s="1"/>
  <c r="M88" i="6" l="1"/>
  <c r="K89" i="6"/>
  <c r="L88" i="6"/>
  <c r="L89" i="8" s="1"/>
  <c r="B90" i="6"/>
  <c r="D89" i="6"/>
  <c r="C89" i="6"/>
  <c r="C90" i="8" s="1"/>
  <c r="N129" i="6"/>
  <c r="N129" i="8"/>
  <c r="K45" i="7"/>
  <c r="B46" i="8"/>
  <c r="D45" i="7"/>
  <c r="D46" i="8" s="1"/>
  <c r="L137" i="7"/>
  <c r="D90" i="6" l="1"/>
  <c r="C90" i="6" s="1"/>
  <c r="C91" i="8" s="1"/>
  <c r="B91" i="6"/>
  <c r="N130" i="6"/>
  <c r="N130" i="8"/>
  <c r="M89" i="6"/>
  <c r="L89" i="6" s="1"/>
  <c r="L90" i="8" s="1"/>
  <c r="K90" i="6"/>
  <c r="K46" i="8"/>
  <c r="K47" i="8" s="1"/>
  <c r="M45" i="7"/>
  <c r="K46" i="7"/>
  <c r="B47" i="7" s="1"/>
  <c r="N131" i="6" l="1"/>
  <c r="N131" i="8"/>
  <c r="K91" i="6"/>
  <c r="M90" i="6"/>
  <c r="L90" i="6" s="1"/>
  <c r="L91" i="8" s="1"/>
  <c r="D91" i="6"/>
  <c r="B92" i="6"/>
  <c r="C91" i="6"/>
  <c r="C92" i="8" s="1"/>
  <c r="K47" i="7"/>
  <c r="B59" i="7"/>
  <c r="B48" i="8"/>
  <c r="B60" i="8" s="1"/>
  <c r="D47" i="7"/>
  <c r="M46" i="8"/>
  <c r="M47" i="8" s="1"/>
  <c r="M46" i="7"/>
  <c r="L150" i="7"/>
  <c r="D92" i="6" l="1"/>
  <c r="C92" i="6" s="1"/>
  <c r="C93" i="8" s="1"/>
  <c r="B93" i="6"/>
  <c r="K92" i="6"/>
  <c r="M91" i="6"/>
  <c r="L91" i="6" s="1"/>
  <c r="L92" i="8" s="1"/>
  <c r="N132" i="6"/>
  <c r="N132" i="8"/>
  <c r="D59" i="7"/>
  <c r="D48" i="8"/>
  <c r="D60" i="8" s="1"/>
  <c r="B48" i="7"/>
  <c r="K48" i="8"/>
  <c r="M47" i="7"/>
  <c r="M48" i="8" s="1"/>
  <c r="M92" i="6" l="1"/>
  <c r="L92" i="6" s="1"/>
  <c r="L93" i="8" s="1"/>
  <c r="K93" i="6"/>
  <c r="N133" i="6"/>
  <c r="N133" i="8"/>
  <c r="D93" i="6"/>
  <c r="B94" i="6"/>
  <c r="C93" i="6"/>
  <c r="C94" i="8" s="1"/>
  <c r="K48" i="7"/>
  <c r="B49" i="8"/>
  <c r="D48" i="7"/>
  <c r="D49" i="8" s="1"/>
  <c r="L163" i="7"/>
  <c r="N134" i="6" l="1"/>
  <c r="N134" i="8"/>
  <c r="D94" i="6"/>
  <c r="C94" i="6" s="1"/>
  <c r="C95" i="8" s="1"/>
  <c r="B95" i="6"/>
  <c r="K94" i="6"/>
  <c r="M93" i="6"/>
  <c r="L93" i="6"/>
  <c r="L94" i="8" s="1"/>
  <c r="B49" i="7"/>
  <c r="K49" i="8"/>
  <c r="M48" i="7"/>
  <c r="M49" i="8" s="1"/>
  <c r="D95" i="6" l="1"/>
  <c r="C95" i="6" s="1"/>
  <c r="C96" i="8" s="1"/>
  <c r="B96" i="6"/>
  <c r="K95" i="6"/>
  <c r="M94" i="6"/>
  <c r="L94" i="6" s="1"/>
  <c r="L95" i="8" s="1"/>
  <c r="N135" i="8"/>
  <c r="N135" i="6"/>
  <c r="K49" i="7"/>
  <c r="B50" i="8"/>
  <c r="D49" i="7"/>
  <c r="D50" i="8" s="1"/>
  <c r="L176" i="7"/>
  <c r="K96" i="6" l="1"/>
  <c r="M95" i="6"/>
  <c r="L95" i="6" s="1"/>
  <c r="L96" i="8" s="1"/>
  <c r="N136" i="8"/>
  <c r="N136" i="6"/>
  <c r="D96" i="6"/>
  <c r="C96" i="6" s="1"/>
  <c r="C97" i="8" s="1"/>
  <c r="B97" i="6"/>
  <c r="B50" i="7"/>
  <c r="K50" i="8"/>
  <c r="M49" i="7"/>
  <c r="M50" i="8" s="1"/>
  <c r="M21" i="8"/>
  <c r="K21" i="8"/>
  <c r="D97" i="6" l="1"/>
  <c r="C97" i="6" s="1"/>
  <c r="C98" i="8" s="1"/>
  <c r="B99" i="6"/>
  <c r="N137" i="6"/>
  <c r="N137" i="8"/>
  <c r="N138" i="8" s="1"/>
  <c r="N138" i="6"/>
  <c r="M96" i="6"/>
  <c r="L96" i="6"/>
  <c r="L97" i="8" s="1"/>
  <c r="K97" i="6"/>
  <c r="K50" i="7"/>
  <c r="B51" i="8"/>
  <c r="D50" i="7"/>
  <c r="D51" i="8" s="1"/>
  <c r="L189" i="7"/>
  <c r="K98" i="6" l="1"/>
  <c r="M97" i="6"/>
  <c r="M98" i="6" s="1"/>
  <c r="K99" i="6"/>
  <c r="L97" i="6"/>
  <c r="D99" i="6"/>
  <c r="B100" i="6"/>
  <c r="B111" i="6"/>
  <c r="D111" i="6" s="1"/>
  <c r="C111" i="6" s="1"/>
  <c r="C99" i="6"/>
  <c r="C100" i="8" s="1"/>
  <c r="C112" i="8" s="1"/>
  <c r="N139" i="8"/>
  <c r="N139" i="6"/>
  <c r="B51" i="7"/>
  <c r="K51" i="8"/>
  <c r="M50" i="7"/>
  <c r="M51" i="8" s="1"/>
  <c r="L98" i="6" l="1"/>
  <c r="L98" i="8"/>
  <c r="L99" i="8" s="1"/>
  <c r="M99" i="6"/>
  <c r="L99" i="6" s="1"/>
  <c r="L100" i="8" s="1"/>
  <c r="K100" i="6"/>
  <c r="N140" i="6"/>
  <c r="N140" i="8"/>
  <c r="D100" i="6"/>
  <c r="C100" i="6" s="1"/>
  <c r="C101" i="8" s="1"/>
  <c r="B101" i="6"/>
  <c r="K51" i="7"/>
  <c r="B52" i="8"/>
  <c r="D51" i="7"/>
  <c r="D52" i="8" s="1"/>
  <c r="M100" i="6" l="1"/>
  <c r="L100" i="6" s="1"/>
  <c r="L101" i="8" s="1"/>
  <c r="K101" i="6"/>
  <c r="N141" i="8"/>
  <c r="N141" i="6"/>
  <c r="B102" i="6"/>
  <c r="D101" i="6"/>
  <c r="C101" i="6" s="1"/>
  <c r="C102" i="8" s="1"/>
  <c r="B52" i="7"/>
  <c r="K52" i="8"/>
  <c r="M51" i="7"/>
  <c r="M52" i="8" s="1"/>
  <c r="N142" i="6" l="1"/>
  <c r="N142" i="8"/>
  <c r="M101" i="6"/>
  <c r="L101" i="6" s="1"/>
  <c r="L102" i="8" s="1"/>
  <c r="K102" i="6"/>
  <c r="D102" i="6"/>
  <c r="C102" i="6" s="1"/>
  <c r="C103" i="8" s="1"/>
  <c r="B103" i="6"/>
  <c r="K52" i="7"/>
  <c r="B53" i="8"/>
  <c r="D52" i="7"/>
  <c r="D53" i="8" s="1"/>
  <c r="D8" i="7"/>
  <c r="D9" i="7"/>
  <c r="D10" i="8" s="1"/>
  <c r="M102" i="6" l="1"/>
  <c r="L102" i="6" s="1"/>
  <c r="L103" i="8" s="1"/>
  <c r="K103" i="6"/>
  <c r="B104" i="6"/>
  <c r="D103" i="6"/>
  <c r="C103" i="6" s="1"/>
  <c r="C104" i="8" s="1"/>
  <c r="N143" i="6"/>
  <c r="N143" i="8"/>
  <c r="D20" i="7"/>
  <c r="D9" i="8"/>
  <c r="D21" i="8" s="1"/>
  <c r="B53" i="7"/>
  <c r="K53" i="8"/>
  <c r="M52" i="7"/>
  <c r="M53" i="8" s="1"/>
  <c r="D104" i="6" l="1"/>
  <c r="C104" i="6" s="1"/>
  <c r="C105" i="8" s="1"/>
  <c r="B105" i="6"/>
  <c r="N144" i="8"/>
  <c r="N144" i="6"/>
  <c r="K104" i="6"/>
  <c r="M103" i="6"/>
  <c r="L103" i="6" s="1"/>
  <c r="L104" i="8" s="1"/>
  <c r="K53" i="7"/>
  <c r="B54" i="8"/>
  <c r="D53" i="7"/>
  <c r="D54" i="8" s="1"/>
  <c r="K105" i="6" l="1"/>
  <c r="M104" i="6"/>
  <c r="L104" i="6" s="1"/>
  <c r="L105" i="8" s="1"/>
  <c r="C105" i="6"/>
  <c r="C106" i="8" s="1"/>
  <c r="B106" i="6"/>
  <c r="D105" i="6"/>
  <c r="N145" i="8"/>
  <c r="N145" i="6"/>
  <c r="B54" i="7"/>
  <c r="K54" i="8"/>
  <c r="M53" i="7"/>
  <c r="M54" i="8" s="1"/>
  <c r="N146" i="6" l="1"/>
  <c r="N146" i="8"/>
  <c r="B107" i="6"/>
  <c r="D106" i="6"/>
  <c r="C106" i="6" s="1"/>
  <c r="C107" i="8" s="1"/>
  <c r="M105" i="6"/>
  <c r="L105" i="6"/>
  <c r="L106" i="8" s="1"/>
  <c r="K106" i="6"/>
  <c r="K54" i="7"/>
  <c r="B55" i="8"/>
  <c r="D54" i="7"/>
  <c r="D55" i="8" s="1"/>
  <c r="M106" i="6" l="1"/>
  <c r="L106" i="6" s="1"/>
  <c r="L107" i="8" s="1"/>
  <c r="K107" i="6"/>
  <c r="D107" i="6"/>
  <c r="C107" i="6" s="1"/>
  <c r="C108" i="8" s="1"/>
  <c r="B108" i="6"/>
  <c r="N147" i="6"/>
  <c r="N147" i="8"/>
  <c r="B55" i="7"/>
  <c r="K55" i="8"/>
  <c r="M54" i="7"/>
  <c r="M55" i="8" s="1"/>
  <c r="D108" i="6" l="1"/>
  <c r="C108" i="6" s="1"/>
  <c r="C109" i="8" s="1"/>
  <c r="B109" i="6"/>
  <c r="N148" i="8"/>
  <c r="N148" i="6"/>
  <c r="M107" i="6"/>
  <c r="L107" i="6" s="1"/>
  <c r="L108" i="8" s="1"/>
  <c r="K108" i="6"/>
  <c r="K55" i="7"/>
  <c r="B56" i="8"/>
  <c r="D55" i="7"/>
  <c r="D56" i="8" s="1"/>
  <c r="B110" i="6" l="1"/>
  <c r="D109" i="6"/>
  <c r="C109" i="6" s="1"/>
  <c r="C110" i="8" s="1"/>
  <c r="M108" i="6"/>
  <c r="L108" i="6"/>
  <c r="L109" i="8" s="1"/>
  <c r="K109" i="6"/>
  <c r="N149" i="6"/>
  <c r="N149" i="8"/>
  <c r="B56" i="7"/>
  <c r="K56" i="8"/>
  <c r="M55" i="7"/>
  <c r="M56" i="8" s="1"/>
  <c r="N150" i="6" l="1"/>
  <c r="N150" i="8"/>
  <c r="N151" i="8" s="1"/>
  <c r="N151" i="6"/>
  <c r="M109" i="6"/>
  <c r="L109" i="6" s="1"/>
  <c r="L110" i="8" s="1"/>
  <c r="K110" i="6"/>
  <c r="B112" i="6"/>
  <c r="D110" i="6"/>
  <c r="C110" i="6" s="1"/>
  <c r="C111" i="8" s="1"/>
  <c r="K56" i="7"/>
  <c r="B57" i="8"/>
  <c r="D56" i="7"/>
  <c r="D57" i="8" s="1"/>
  <c r="B124" i="6" l="1"/>
  <c r="D124" i="6" s="1"/>
  <c r="C124" i="6" s="1"/>
  <c r="D112" i="6"/>
  <c r="C112" i="6" s="1"/>
  <c r="C113" i="8" s="1"/>
  <c r="C125" i="8" s="1"/>
  <c r="B113" i="6"/>
  <c r="N152" i="8"/>
  <c r="N152" i="6"/>
  <c r="M110" i="6"/>
  <c r="M111" i="6" s="1"/>
  <c r="K112" i="6"/>
  <c r="K111" i="6"/>
  <c r="B57" i="7"/>
  <c r="K57" i="8"/>
  <c r="M56" i="7"/>
  <c r="M57" i="8" s="1"/>
  <c r="L110" i="6" l="1"/>
  <c r="L111" i="8"/>
  <c r="L112" i="8" s="1"/>
  <c r="L111" i="6"/>
  <c r="B114" i="6"/>
  <c r="D113" i="6"/>
  <c r="C113" i="6" s="1"/>
  <c r="C114" i="8" s="1"/>
  <c r="N153" i="8"/>
  <c r="N153" i="6"/>
  <c r="K113" i="6"/>
  <c r="L112" i="6"/>
  <c r="L113" i="8" s="1"/>
  <c r="M112" i="6"/>
  <c r="K57" i="7"/>
  <c r="B58" i="8"/>
  <c r="D57" i="7"/>
  <c r="D58" i="8" s="1"/>
  <c r="N154" i="6" l="1"/>
  <c r="N154" i="8"/>
  <c r="K114" i="6"/>
  <c r="M113" i="6"/>
  <c r="L113" i="6" s="1"/>
  <c r="L114" i="8" s="1"/>
  <c r="B115" i="6"/>
  <c r="D114" i="6"/>
  <c r="C114" i="6" s="1"/>
  <c r="C115" i="8" s="1"/>
  <c r="B58" i="7"/>
  <c r="K58" i="8"/>
  <c r="M57" i="7"/>
  <c r="M58" i="8" s="1"/>
  <c r="K115" i="6" l="1"/>
  <c r="M114" i="6"/>
  <c r="L114" i="6" s="1"/>
  <c r="L115" i="8" s="1"/>
  <c r="D115" i="6"/>
  <c r="C115" i="6" s="1"/>
  <c r="C116" i="8" s="1"/>
  <c r="B116" i="6"/>
  <c r="N155" i="6"/>
  <c r="N155" i="8"/>
  <c r="K58" i="7"/>
  <c r="B59" i="8"/>
  <c r="D58" i="7"/>
  <c r="D59" i="8" s="1"/>
  <c r="D116" i="6" l="1"/>
  <c r="C116" i="6" s="1"/>
  <c r="C117" i="8" s="1"/>
  <c r="B117" i="6"/>
  <c r="N156" i="6"/>
  <c r="N156" i="8"/>
  <c r="M115" i="6"/>
  <c r="L115" i="6" s="1"/>
  <c r="L116" i="8" s="1"/>
  <c r="K116" i="6"/>
  <c r="K59" i="8"/>
  <c r="K60" i="8" s="1"/>
  <c r="M58" i="7"/>
  <c r="K59" i="7"/>
  <c r="B60" i="7" s="1"/>
  <c r="N157" i="6" l="1"/>
  <c r="N157" i="8"/>
  <c r="M116" i="6"/>
  <c r="L116" i="6" s="1"/>
  <c r="L117" i="8" s="1"/>
  <c r="K117" i="6"/>
  <c r="B118" i="6"/>
  <c r="D117" i="6"/>
  <c r="C117" i="6" s="1"/>
  <c r="C118" i="8" s="1"/>
  <c r="K60" i="7"/>
  <c r="B72" i="7"/>
  <c r="B61" i="8"/>
  <c r="B73" i="8" s="1"/>
  <c r="D60" i="7"/>
  <c r="M59" i="8"/>
  <c r="M60" i="8" s="1"/>
  <c r="M59" i="7"/>
  <c r="D118" i="6" l="1"/>
  <c r="C118" i="6" s="1"/>
  <c r="C119" i="8" s="1"/>
  <c r="B119" i="6"/>
  <c r="M117" i="6"/>
  <c r="L117" i="6" s="1"/>
  <c r="L118" i="8" s="1"/>
  <c r="K118" i="6"/>
  <c r="N158" i="8"/>
  <c r="N158" i="6"/>
  <c r="D72" i="7"/>
  <c r="D61" i="8"/>
  <c r="D73" i="8" s="1"/>
  <c r="B61" i="7"/>
  <c r="K61" i="8"/>
  <c r="M60" i="7"/>
  <c r="M61" i="8" s="1"/>
  <c r="M118" i="6" l="1"/>
  <c r="L118" i="6" s="1"/>
  <c r="L119" i="8" s="1"/>
  <c r="K119" i="6"/>
  <c r="N159" i="6"/>
  <c r="N159" i="8"/>
  <c r="D119" i="6"/>
  <c r="C119" i="6" s="1"/>
  <c r="C120" i="8" s="1"/>
  <c r="B120" i="6"/>
  <c r="K61" i="7"/>
  <c r="B62" i="8"/>
  <c r="D61" i="7"/>
  <c r="D62" i="8" s="1"/>
  <c r="N160" i="6" l="1"/>
  <c r="N160" i="8"/>
  <c r="B121" i="6"/>
  <c r="D120" i="6"/>
  <c r="C120" i="6" s="1"/>
  <c r="C121" i="8" s="1"/>
  <c r="K120" i="6"/>
  <c r="M119" i="6"/>
  <c r="L119" i="6" s="1"/>
  <c r="L120" i="8" s="1"/>
  <c r="B62" i="7"/>
  <c r="K62" i="8"/>
  <c r="M61" i="7"/>
  <c r="M62" i="8" s="1"/>
  <c r="B122" i="6" l="1"/>
  <c r="D121" i="6"/>
  <c r="C121" i="6" s="1"/>
  <c r="C122" i="8" s="1"/>
  <c r="M120" i="6"/>
  <c r="L120" i="6" s="1"/>
  <c r="L121" i="8" s="1"/>
  <c r="K121" i="6"/>
  <c r="N161" i="8"/>
  <c r="N161" i="6"/>
  <c r="K62" i="7"/>
  <c r="B63" i="8"/>
  <c r="D62" i="7"/>
  <c r="D63" i="8" s="1"/>
  <c r="M121" i="6" l="1"/>
  <c r="L121" i="6" s="1"/>
  <c r="L122" i="8" s="1"/>
  <c r="K122" i="6"/>
  <c r="N162" i="6"/>
  <c r="N162" i="8"/>
  <c r="B123" i="6"/>
  <c r="D122" i="6"/>
  <c r="C122" i="6" s="1"/>
  <c r="C123" i="8" s="1"/>
  <c r="B63" i="7"/>
  <c r="K63" i="8"/>
  <c r="M62" i="7"/>
  <c r="M63" i="8" s="1"/>
  <c r="N164" i="6" l="1"/>
  <c r="N163" i="6"/>
  <c r="N163" i="8"/>
  <c r="N164" i="8" s="1"/>
  <c r="M122" i="6"/>
  <c r="L122" i="6" s="1"/>
  <c r="L123" i="8" s="1"/>
  <c r="K123" i="6"/>
  <c r="B125" i="6"/>
  <c r="D123" i="6"/>
  <c r="C123" i="6" s="1"/>
  <c r="C124" i="8" s="1"/>
  <c r="K63" i="7"/>
  <c r="B64" i="8"/>
  <c r="D63" i="7"/>
  <c r="D64" i="8" s="1"/>
  <c r="B137" i="6" l="1"/>
  <c r="D137" i="6" s="1"/>
  <c r="C137" i="6" s="1"/>
  <c r="D125" i="6"/>
  <c r="C125" i="6" s="1"/>
  <c r="C126" i="8" s="1"/>
  <c r="C138" i="8" s="1"/>
  <c r="B126" i="6"/>
  <c r="K125" i="6"/>
  <c r="M123" i="6"/>
  <c r="M124" i="6" s="1"/>
  <c r="K124" i="6"/>
  <c r="N165" i="8"/>
  <c r="N165" i="6"/>
  <c r="B64" i="7"/>
  <c r="K64" i="8"/>
  <c r="M63" i="7"/>
  <c r="M64" i="8" s="1"/>
  <c r="L123" i="6" l="1"/>
  <c r="B127" i="6"/>
  <c r="C126" i="6"/>
  <c r="C127" i="8" s="1"/>
  <c r="D126" i="6"/>
  <c r="N166" i="6"/>
  <c r="N166" i="8"/>
  <c r="M125" i="6"/>
  <c r="L125" i="6" s="1"/>
  <c r="L126" i="8" s="1"/>
  <c r="K126" i="6"/>
  <c r="K64" i="7"/>
  <c r="B65" i="8"/>
  <c r="D64" i="7"/>
  <c r="D65" i="8" s="1"/>
  <c r="N167" i="8" l="1"/>
  <c r="N167" i="6"/>
  <c r="M126" i="6"/>
  <c r="L126" i="6" s="1"/>
  <c r="L127" i="8" s="1"/>
  <c r="K127" i="6"/>
  <c r="D127" i="6"/>
  <c r="C127" i="6" s="1"/>
  <c r="C128" i="8" s="1"/>
  <c r="B128" i="6"/>
  <c r="L124" i="6"/>
  <c r="L124" i="8"/>
  <c r="L125" i="8" s="1"/>
  <c r="B65" i="7"/>
  <c r="K65" i="8"/>
  <c r="M64" i="7"/>
  <c r="M65" i="8" s="1"/>
  <c r="M127" i="6" l="1"/>
  <c r="L127" i="6" s="1"/>
  <c r="L128" i="8" s="1"/>
  <c r="K128" i="6"/>
  <c r="B129" i="6"/>
  <c r="D128" i="6"/>
  <c r="C128" i="6" s="1"/>
  <c r="C129" i="8" s="1"/>
  <c r="N168" i="8"/>
  <c r="N168" i="6"/>
  <c r="K65" i="7"/>
  <c r="B66" i="8"/>
  <c r="D65" i="7"/>
  <c r="D66" i="8" s="1"/>
  <c r="D129" i="6" l="1"/>
  <c r="C129" i="6" s="1"/>
  <c r="C130" i="8" s="1"/>
  <c r="B130" i="6"/>
  <c r="N169" i="6"/>
  <c r="N169" i="8"/>
  <c r="K129" i="6"/>
  <c r="M128" i="6"/>
  <c r="L128" i="6" s="1"/>
  <c r="L129" i="8" s="1"/>
  <c r="B66" i="7"/>
  <c r="K66" i="8"/>
  <c r="M65" i="7"/>
  <c r="M66" i="8" s="1"/>
  <c r="N170" i="6" l="1"/>
  <c r="N170" i="8"/>
  <c r="B131" i="6"/>
  <c r="D130" i="6"/>
  <c r="C130" i="6" s="1"/>
  <c r="C131" i="8" s="1"/>
  <c r="K130" i="6"/>
  <c r="M129" i="6"/>
  <c r="L129" i="6" s="1"/>
  <c r="L130" i="8" s="1"/>
  <c r="K66" i="7"/>
  <c r="B67" i="8"/>
  <c r="D66" i="7"/>
  <c r="D67" i="8" s="1"/>
  <c r="B132" i="6" l="1"/>
  <c r="D131" i="6"/>
  <c r="C131" i="6" s="1"/>
  <c r="C132" i="8" s="1"/>
  <c r="M130" i="6"/>
  <c r="L130" i="6" s="1"/>
  <c r="L131" i="8" s="1"/>
  <c r="K131" i="6"/>
  <c r="N171" i="8"/>
  <c r="N171" i="6"/>
  <c r="B67" i="7"/>
  <c r="K67" i="8"/>
  <c r="M66" i="7"/>
  <c r="M67" i="8" s="1"/>
  <c r="N172" i="6" l="1"/>
  <c r="N172" i="8"/>
  <c r="K132" i="6"/>
  <c r="M131" i="6"/>
  <c r="L131" i="6" s="1"/>
  <c r="L132" i="8" s="1"/>
  <c r="B133" i="6"/>
  <c r="D132" i="6"/>
  <c r="C132" i="6" s="1"/>
  <c r="C133" i="8" s="1"/>
  <c r="K67" i="7"/>
  <c r="B68" i="8"/>
  <c r="D67" i="7"/>
  <c r="D68" i="8" s="1"/>
  <c r="K133" i="6" l="1"/>
  <c r="M132" i="6"/>
  <c r="L132" i="6" s="1"/>
  <c r="L133" i="8" s="1"/>
  <c r="D133" i="6"/>
  <c r="C133" i="6" s="1"/>
  <c r="C134" i="8" s="1"/>
  <c r="B134" i="6"/>
  <c r="N173" i="6"/>
  <c r="N173" i="8"/>
  <c r="B68" i="7"/>
  <c r="K68" i="8"/>
  <c r="M67" i="7"/>
  <c r="M68" i="8" s="1"/>
  <c r="N174" i="6" l="1"/>
  <c r="N174" i="8"/>
  <c r="D134" i="6"/>
  <c r="C134" i="6" s="1"/>
  <c r="C135" i="8" s="1"/>
  <c r="B135" i="6"/>
  <c r="K134" i="6"/>
  <c r="M133" i="6"/>
  <c r="L133" i="6" s="1"/>
  <c r="L134" i="8" s="1"/>
  <c r="K68" i="7"/>
  <c r="B69" i="8"/>
  <c r="D68" i="7"/>
  <c r="D69" i="8" s="1"/>
  <c r="D135" i="6" l="1"/>
  <c r="B136" i="6"/>
  <c r="C135" i="6"/>
  <c r="C136" i="8" s="1"/>
  <c r="M134" i="6"/>
  <c r="L134" i="6" s="1"/>
  <c r="L135" i="8" s="1"/>
  <c r="K135" i="6"/>
  <c r="N175" i="8"/>
  <c r="N175" i="6"/>
  <c r="B69" i="7"/>
  <c r="K69" i="8"/>
  <c r="M68" i="7"/>
  <c r="M69" i="8" s="1"/>
  <c r="D136" i="6" l="1"/>
  <c r="C136" i="6"/>
  <c r="C137" i="8" s="1"/>
  <c r="B138" i="6"/>
  <c r="N176" i="8"/>
  <c r="N177" i="8" s="1"/>
  <c r="N176" i="6"/>
  <c r="N177" i="6"/>
  <c r="M135" i="6"/>
  <c r="L135" i="6" s="1"/>
  <c r="L136" i="8" s="1"/>
  <c r="K136" i="6"/>
  <c r="K69" i="7"/>
  <c r="B70" i="8"/>
  <c r="D69" i="7"/>
  <c r="D70" i="8" s="1"/>
  <c r="M136" i="6" l="1"/>
  <c r="M137" i="6" s="1"/>
  <c r="K138" i="6"/>
  <c r="K137" i="6"/>
  <c r="B139" i="6"/>
  <c r="B150" i="6"/>
  <c r="D150" i="6" s="1"/>
  <c r="C150" i="6" s="1"/>
  <c r="D138" i="6"/>
  <c r="C138" i="6" s="1"/>
  <c r="C139" i="8" s="1"/>
  <c r="C151" i="8" s="1"/>
  <c r="N178" i="8"/>
  <c r="N178" i="6"/>
  <c r="B70" i="7"/>
  <c r="K70" i="8"/>
  <c r="M69" i="7"/>
  <c r="M70" i="8" s="1"/>
  <c r="M138" i="6" l="1"/>
  <c r="L138" i="6" s="1"/>
  <c r="L139" i="8" s="1"/>
  <c r="K139" i="6"/>
  <c r="N179" i="6"/>
  <c r="N179" i="8"/>
  <c r="L136" i="6"/>
  <c r="D139" i="6"/>
  <c r="C139" i="6" s="1"/>
  <c r="C140" i="8" s="1"/>
  <c r="B140" i="6"/>
  <c r="K70" i="7"/>
  <c r="B71" i="8"/>
  <c r="D70" i="7"/>
  <c r="D71" i="8" s="1"/>
  <c r="N180" i="6" l="1"/>
  <c r="N180" i="8"/>
  <c r="K140" i="6"/>
  <c r="M139" i="6"/>
  <c r="L139" i="6" s="1"/>
  <c r="L140" i="8" s="1"/>
  <c r="L137" i="6"/>
  <c r="L137" i="8"/>
  <c r="L138" i="8" s="1"/>
  <c r="B141" i="6"/>
  <c r="D140" i="6"/>
  <c r="C140" i="6" s="1"/>
  <c r="C141" i="8" s="1"/>
  <c r="B71" i="7"/>
  <c r="K71" i="8"/>
  <c r="M70" i="7"/>
  <c r="M71" i="8" s="1"/>
  <c r="K141" i="6" l="1"/>
  <c r="M140" i="6"/>
  <c r="L140" i="6" s="1"/>
  <c r="L141" i="8" s="1"/>
  <c r="B142" i="6"/>
  <c r="D141" i="6"/>
  <c r="C141" i="6" s="1"/>
  <c r="C142" i="8" s="1"/>
  <c r="N181" i="6"/>
  <c r="N181" i="8"/>
  <c r="K71" i="7"/>
  <c r="B72" i="8"/>
  <c r="D71" i="7"/>
  <c r="D72" i="8" s="1"/>
  <c r="B143" i="6" l="1"/>
  <c r="D142" i="6"/>
  <c r="C142" i="6" s="1"/>
  <c r="C143" i="8" s="1"/>
  <c r="N182" i="6"/>
  <c r="N182" i="8"/>
  <c r="K142" i="6"/>
  <c r="M141" i="6"/>
  <c r="L141" i="6" s="1"/>
  <c r="L142" i="8" s="1"/>
  <c r="K72" i="8"/>
  <c r="K73" i="8" s="1"/>
  <c r="M71" i="7"/>
  <c r="K72" i="7"/>
  <c r="B73" i="7" s="1"/>
  <c r="N183" i="6" l="1"/>
  <c r="N183" i="8"/>
  <c r="M142" i="6"/>
  <c r="L142" i="6" s="1"/>
  <c r="L143" i="8" s="1"/>
  <c r="K143" i="6"/>
  <c r="B144" i="6"/>
  <c r="D143" i="6"/>
  <c r="C143" i="6" s="1"/>
  <c r="C144" i="8" s="1"/>
  <c r="K73" i="7"/>
  <c r="B85" i="7"/>
  <c r="B74" i="8"/>
  <c r="B86" i="8" s="1"/>
  <c r="D73" i="7"/>
  <c r="M72" i="8"/>
  <c r="M73" i="8" s="1"/>
  <c r="M72" i="7"/>
  <c r="D144" i="6" l="1"/>
  <c r="C144" i="6" s="1"/>
  <c r="C145" i="8" s="1"/>
  <c r="B145" i="6"/>
  <c r="K144" i="6"/>
  <c r="M143" i="6"/>
  <c r="L143" i="6" s="1"/>
  <c r="L144" i="8" s="1"/>
  <c r="N184" i="6"/>
  <c r="N184" i="8"/>
  <c r="D85" i="7"/>
  <c r="D74" i="8"/>
  <c r="D86" i="8" s="1"/>
  <c r="B74" i="7"/>
  <c r="K74" i="8"/>
  <c r="M73" i="7"/>
  <c r="M74" i="8" s="1"/>
  <c r="K145" i="6" l="1"/>
  <c r="M144" i="6"/>
  <c r="L144" i="6"/>
  <c r="L145" i="8" s="1"/>
  <c r="N185" i="8"/>
  <c r="N185" i="6"/>
  <c r="B146" i="6"/>
  <c r="D145" i="6"/>
  <c r="C145" i="6"/>
  <c r="C146" i="8" s="1"/>
  <c r="K74" i="7"/>
  <c r="B75" i="8"/>
  <c r="D74" i="7"/>
  <c r="D75" i="8" s="1"/>
  <c r="D146" i="6" l="1"/>
  <c r="C146" i="6" s="1"/>
  <c r="C147" i="8" s="1"/>
  <c r="B147" i="6"/>
  <c r="N186" i="6"/>
  <c r="N186" i="8"/>
  <c r="M145" i="6"/>
  <c r="L145" i="6" s="1"/>
  <c r="L146" i="8" s="1"/>
  <c r="K146" i="6"/>
  <c r="B75" i="7"/>
  <c r="K75" i="8"/>
  <c r="M74" i="7"/>
  <c r="M75" i="8" s="1"/>
  <c r="M146" i="6" l="1"/>
  <c r="L146" i="6" s="1"/>
  <c r="L147" i="8" s="1"/>
  <c r="K147" i="6"/>
  <c r="N187" i="6"/>
  <c r="N187" i="8"/>
  <c r="B148" i="6"/>
  <c r="D147" i="6"/>
  <c r="C147" i="6" s="1"/>
  <c r="C148" i="8" s="1"/>
  <c r="K75" i="7"/>
  <c r="B76" i="8"/>
  <c r="D75" i="7"/>
  <c r="D76" i="8" s="1"/>
  <c r="N188" i="6" l="1"/>
  <c r="N188" i="8"/>
  <c r="K148" i="6"/>
  <c r="M147" i="6"/>
  <c r="L147" i="6" s="1"/>
  <c r="L148" i="8" s="1"/>
  <c r="B149" i="6"/>
  <c r="D148" i="6"/>
  <c r="C148" i="6" s="1"/>
  <c r="C149" i="8" s="1"/>
  <c r="B76" i="7"/>
  <c r="K76" i="8"/>
  <c r="M75" i="7"/>
  <c r="M76" i="8" s="1"/>
  <c r="M148" i="6" l="1"/>
  <c r="L148" i="6" s="1"/>
  <c r="L149" i="8" s="1"/>
  <c r="K149" i="6"/>
  <c r="D149" i="6"/>
  <c r="C149" i="6" s="1"/>
  <c r="C150" i="8" s="1"/>
  <c r="B151" i="6"/>
  <c r="N189" i="8"/>
  <c r="N190" i="8" s="1"/>
  <c r="N189" i="6"/>
  <c r="N190" i="6"/>
  <c r="K76" i="7"/>
  <c r="B77" i="8"/>
  <c r="D76" i="7"/>
  <c r="D77" i="8" s="1"/>
  <c r="N191" i="6" l="1"/>
  <c r="N191" i="8"/>
  <c r="K151" i="6"/>
  <c r="M149" i="6"/>
  <c r="M150" i="6" s="1"/>
  <c r="K150" i="6"/>
  <c r="B163" i="6"/>
  <c r="D163" i="6" s="1"/>
  <c r="C163" i="6" s="1"/>
  <c r="B152" i="6"/>
  <c r="D151" i="6"/>
  <c r="C151" i="6" s="1"/>
  <c r="C152" i="8" s="1"/>
  <c r="C164" i="8" s="1"/>
  <c r="B77" i="7"/>
  <c r="K77" i="8"/>
  <c r="M76" i="7"/>
  <c r="M77" i="8" s="1"/>
  <c r="L149" i="6" l="1"/>
  <c r="L150" i="6"/>
  <c r="L150" i="8"/>
  <c r="L151" i="8" s="1"/>
  <c r="K152" i="6"/>
  <c r="L151" i="6"/>
  <c r="L152" i="8" s="1"/>
  <c r="M151" i="6"/>
  <c r="B153" i="6"/>
  <c r="D152" i="6"/>
  <c r="C152" i="6"/>
  <c r="C153" i="8" s="1"/>
  <c r="N192" i="8"/>
  <c r="N192" i="6"/>
  <c r="K77" i="7"/>
  <c r="B78" i="8"/>
  <c r="D77" i="7"/>
  <c r="D78" i="8" s="1"/>
  <c r="K153" i="6" l="1"/>
  <c r="M152" i="6"/>
  <c r="L152" i="6" s="1"/>
  <c r="L153" i="8" s="1"/>
  <c r="N193" i="6"/>
  <c r="N193" i="8"/>
  <c r="C153" i="6"/>
  <c r="C154" i="8" s="1"/>
  <c r="D153" i="6"/>
  <c r="B154" i="6"/>
  <c r="B78" i="7"/>
  <c r="K78" i="8"/>
  <c r="M77" i="7"/>
  <c r="M78" i="8" s="1"/>
  <c r="B155" i="6" l="1"/>
  <c r="D154" i="6"/>
  <c r="C154" i="6" s="1"/>
  <c r="C155" i="8" s="1"/>
  <c r="N194" i="6"/>
  <c r="N194" i="8"/>
  <c r="M153" i="6"/>
  <c r="L153" i="6" s="1"/>
  <c r="L154" i="8" s="1"/>
  <c r="K154" i="6"/>
  <c r="K78" i="7"/>
  <c r="B79" i="8"/>
  <c r="D78" i="7"/>
  <c r="D79" i="8" s="1"/>
  <c r="N195" i="8" l="1"/>
  <c r="N195" i="6"/>
  <c r="K155" i="6"/>
  <c r="M154" i="6"/>
  <c r="L154" i="6" s="1"/>
  <c r="L155" i="8" s="1"/>
  <c r="D155" i="6"/>
  <c r="C155" i="6" s="1"/>
  <c r="C156" i="8" s="1"/>
  <c r="B156" i="6"/>
  <c r="B79" i="7"/>
  <c r="K79" i="8"/>
  <c r="M78" i="7"/>
  <c r="M79" i="8" s="1"/>
  <c r="D156" i="6" l="1"/>
  <c r="C156" i="6" s="1"/>
  <c r="C157" i="8" s="1"/>
  <c r="B157" i="6"/>
  <c r="M155" i="6"/>
  <c r="L155" i="6"/>
  <c r="L156" i="8" s="1"/>
  <c r="K156" i="6"/>
  <c r="N196" i="6"/>
  <c r="N196" i="8"/>
  <c r="K79" i="7"/>
  <c r="B80" i="8"/>
  <c r="D79" i="7"/>
  <c r="D80" i="8" s="1"/>
  <c r="N197" i="8" l="1"/>
  <c r="N197" i="6"/>
  <c r="B158" i="6"/>
  <c r="C157" i="6"/>
  <c r="C158" i="8" s="1"/>
  <c r="D157" i="6"/>
  <c r="K157" i="6"/>
  <c r="M156" i="6"/>
  <c r="L156" i="6" s="1"/>
  <c r="L157" i="8" s="1"/>
  <c r="B80" i="7"/>
  <c r="K80" i="8"/>
  <c r="M79" i="7"/>
  <c r="M80" i="8" s="1"/>
  <c r="B159" i="6" l="1"/>
  <c r="D158" i="6"/>
  <c r="C158" i="6" s="1"/>
  <c r="C159" i="8" s="1"/>
  <c r="N198" i="6"/>
  <c r="N198" i="8"/>
  <c r="K158" i="6"/>
  <c r="M157" i="6"/>
  <c r="L157" i="6" s="1"/>
  <c r="L158" i="8" s="1"/>
  <c r="K80" i="7"/>
  <c r="B81" i="8"/>
  <c r="D80" i="7"/>
  <c r="D81" i="8" s="1"/>
  <c r="N199" i="8" l="1"/>
  <c r="N199" i="6"/>
  <c r="K159" i="6"/>
  <c r="M158" i="6"/>
  <c r="L158" i="6" s="1"/>
  <c r="L159" i="8" s="1"/>
  <c r="D159" i="6"/>
  <c r="B160" i="6"/>
  <c r="C159" i="6"/>
  <c r="C160" i="8" s="1"/>
  <c r="B81" i="7"/>
  <c r="K81" i="8"/>
  <c r="M80" i="7"/>
  <c r="M81" i="8" s="1"/>
  <c r="M159" i="6" l="1"/>
  <c r="L159" i="6" s="1"/>
  <c r="L160" i="8" s="1"/>
  <c r="K160" i="6"/>
  <c r="C160" i="6"/>
  <c r="C161" i="8" s="1"/>
  <c r="D160" i="6"/>
  <c r="B161" i="6"/>
  <c r="N200" i="6"/>
  <c r="N200" i="8"/>
  <c r="K81" i="7"/>
  <c r="B82" i="8"/>
  <c r="D81" i="7"/>
  <c r="D82" i="8" s="1"/>
  <c r="N201" i="8" l="1"/>
  <c r="N201" i="6"/>
  <c r="K161" i="6"/>
  <c r="M160" i="6"/>
  <c r="L160" i="6" s="1"/>
  <c r="L161" i="8" s="1"/>
  <c r="D161" i="6"/>
  <c r="B162" i="6"/>
  <c r="C161" i="6"/>
  <c r="C162" i="8" s="1"/>
  <c r="B82" i="7"/>
  <c r="K82" i="8"/>
  <c r="M81" i="7"/>
  <c r="M82" i="8" s="1"/>
  <c r="K162" i="6" l="1"/>
  <c r="M161" i="6"/>
  <c r="L161" i="6" s="1"/>
  <c r="L162" i="8" s="1"/>
  <c r="N202" i="6"/>
  <c r="N202" i="8"/>
  <c r="N203" i="8" s="1"/>
  <c r="B164" i="6"/>
  <c r="D162" i="6"/>
  <c r="C162" i="6" s="1"/>
  <c r="C163" i="8" s="1"/>
  <c r="K82" i="7"/>
  <c r="B83" i="8"/>
  <c r="D82" i="7"/>
  <c r="D83" i="8" s="1"/>
  <c r="D164" i="6" l="1"/>
  <c r="C164" i="6" s="1"/>
  <c r="C165" i="8" s="1"/>
  <c r="C177" i="8" s="1"/>
  <c r="B165" i="6"/>
  <c r="B176" i="6"/>
  <c r="D176" i="6" s="1"/>
  <c r="C176" i="6" s="1"/>
  <c r="M162" i="6"/>
  <c r="M163" i="6" s="1"/>
  <c r="K164" i="6"/>
  <c r="K163" i="6"/>
  <c r="L162" i="6"/>
  <c r="B83" i="7"/>
  <c r="K83" i="8"/>
  <c r="M82" i="7"/>
  <c r="M83" i="8" s="1"/>
  <c r="L163" i="6" l="1"/>
  <c r="L163" i="8"/>
  <c r="L164" i="8" s="1"/>
  <c r="M164" i="6"/>
  <c r="L164" i="6" s="1"/>
  <c r="L165" i="8" s="1"/>
  <c r="K165" i="6"/>
  <c r="B166" i="6"/>
  <c r="D165" i="6"/>
  <c r="C165" i="6" s="1"/>
  <c r="C166" i="8" s="1"/>
  <c r="K83" i="7"/>
  <c r="B84" i="8"/>
  <c r="D83" i="7"/>
  <c r="D84" i="8" s="1"/>
  <c r="B167" i="6" l="1"/>
  <c r="D166" i="6"/>
  <c r="C166" i="6" s="1"/>
  <c r="C167" i="8" s="1"/>
  <c r="K166" i="6"/>
  <c r="M165" i="6"/>
  <c r="L165" i="6" s="1"/>
  <c r="L166" i="8" s="1"/>
  <c r="B84" i="7"/>
  <c r="K84" i="8"/>
  <c r="M83" i="7"/>
  <c r="M84" i="8" s="1"/>
  <c r="M166" i="6" l="1"/>
  <c r="L166" i="6" s="1"/>
  <c r="L167" i="8" s="1"/>
  <c r="K167" i="6"/>
  <c r="D167" i="6"/>
  <c r="C167" i="6" s="1"/>
  <c r="C168" i="8" s="1"/>
  <c r="B168" i="6"/>
  <c r="K84" i="7"/>
  <c r="B85" i="8"/>
  <c r="D84" i="7"/>
  <c r="D85" i="8" s="1"/>
  <c r="B169" i="6" l="1"/>
  <c r="D168" i="6"/>
  <c r="C168" i="6" s="1"/>
  <c r="C169" i="8" s="1"/>
  <c r="K168" i="6"/>
  <c r="M167" i="6"/>
  <c r="L167" i="6" s="1"/>
  <c r="L168" i="8" s="1"/>
  <c r="K85" i="8"/>
  <c r="K86" i="8" s="1"/>
  <c r="M84" i="7"/>
  <c r="K85" i="7"/>
  <c r="B86" i="7" s="1"/>
  <c r="K169" i="6" l="1"/>
  <c r="M168" i="6"/>
  <c r="L168" i="6" s="1"/>
  <c r="L169" i="8" s="1"/>
  <c r="B170" i="6"/>
  <c r="D169" i="6"/>
  <c r="C169" i="6" s="1"/>
  <c r="C170" i="8" s="1"/>
  <c r="K86" i="7"/>
  <c r="B98" i="7"/>
  <c r="B87" i="8"/>
  <c r="B99" i="8" s="1"/>
  <c r="D86" i="7"/>
  <c r="M85" i="8"/>
  <c r="M86" i="8" s="1"/>
  <c r="M85" i="7"/>
  <c r="B171" i="6" l="1"/>
  <c r="D170" i="6"/>
  <c r="C170" i="6" s="1"/>
  <c r="C171" i="8" s="1"/>
  <c r="K170" i="6"/>
  <c r="M169" i="6"/>
  <c r="L169" i="6" s="1"/>
  <c r="L170" i="8" s="1"/>
  <c r="D98" i="7"/>
  <c r="D87" i="8"/>
  <c r="D99" i="8" s="1"/>
  <c r="B87" i="7"/>
  <c r="K87" i="8"/>
  <c r="M86" i="7"/>
  <c r="M87" i="8" s="1"/>
  <c r="M170" i="6" l="1"/>
  <c r="L170" i="6" s="1"/>
  <c r="L171" i="8" s="1"/>
  <c r="K171" i="6"/>
  <c r="B172" i="6"/>
  <c r="D171" i="6"/>
  <c r="C171" i="6"/>
  <c r="C172" i="8" s="1"/>
  <c r="K87" i="7"/>
  <c r="B88" i="8"/>
  <c r="D87" i="7"/>
  <c r="D88" i="8" s="1"/>
  <c r="D172" i="6" l="1"/>
  <c r="C172" i="6" s="1"/>
  <c r="C173" i="8" s="1"/>
  <c r="B173" i="6"/>
  <c r="K172" i="6"/>
  <c r="M171" i="6"/>
  <c r="L171" i="6" s="1"/>
  <c r="L172" i="8" s="1"/>
  <c r="B88" i="7"/>
  <c r="K88" i="8"/>
  <c r="M87" i="7"/>
  <c r="M88" i="8" s="1"/>
  <c r="K173" i="6" l="1"/>
  <c r="M172" i="6"/>
  <c r="L172" i="6"/>
  <c r="L173" i="8" s="1"/>
  <c r="B174" i="6"/>
  <c r="D173" i="6"/>
  <c r="C173" i="6" s="1"/>
  <c r="C174" i="8" s="1"/>
  <c r="K88" i="7"/>
  <c r="B89" i="8"/>
  <c r="D88" i="7"/>
  <c r="D89" i="8" s="1"/>
  <c r="D174" i="6" l="1"/>
  <c r="C174" i="6" s="1"/>
  <c r="C175" i="8" s="1"/>
  <c r="B175" i="6"/>
  <c r="M173" i="6"/>
  <c r="L173" i="6" s="1"/>
  <c r="L174" i="8" s="1"/>
  <c r="K174" i="6"/>
  <c r="B89" i="7"/>
  <c r="K89" i="8"/>
  <c r="M88" i="7"/>
  <c r="M89" i="8" s="1"/>
  <c r="B177" i="6" l="1"/>
  <c r="D175" i="6"/>
  <c r="C175" i="6" s="1"/>
  <c r="C176" i="8" s="1"/>
  <c r="K175" i="6"/>
  <c r="M174" i="6"/>
  <c r="L174" i="6" s="1"/>
  <c r="L175" i="8" s="1"/>
  <c r="K89" i="7"/>
  <c r="B90" i="8"/>
  <c r="D89" i="7"/>
  <c r="D90" i="8" s="1"/>
  <c r="M175" i="6" l="1"/>
  <c r="M176" i="6" s="1"/>
  <c r="K177" i="6"/>
  <c r="K176" i="6"/>
  <c r="B178" i="6"/>
  <c r="B189" i="6"/>
  <c r="D189" i="6" s="1"/>
  <c r="C189" i="6" s="1"/>
  <c r="D177" i="6"/>
  <c r="C177" i="6" s="1"/>
  <c r="C178" i="8" s="1"/>
  <c r="C190" i="8" s="1"/>
  <c r="B90" i="7"/>
  <c r="K90" i="8"/>
  <c r="M89" i="7"/>
  <c r="M90" i="8" s="1"/>
  <c r="L175" i="6" l="1"/>
  <c r="K178" i="6"/>
  <c r="M177" i="6"/>
  <c r="L177" i="6" s="1"/>
  <c r="L178" i="8" s="1"/>
  <c r="L176" i="8"/>
  <c r="L177" i="8" s="1"/>
  <c r="L176" i="6"/>
  <c r="B179" i="6"/>
  <c r="D178" i="6"/>
  <c r="C178" i="6" s="1"/>
  <c r="C179" i="8" s="1"/>
  <c r="K90" i="7"/>
  <c r="B91" i="8"/>
  <c r="D90" i="7"/>
  <c r="D91" i="8" s="1"/>
  <c r="B180" i="6" l="1"/>
  <c r="D179" i="6"/>
  <c r="C179" i="6" s="1"/>
  <c r="C180" i="8" s="1"/>
  <c r="M178" i="6"/>
  <c r="L178" i="6" s="1"/>
  <c r="L179" i="8" s="1"/>
  <c r="K179" i="6"/>
  <c r="B91" i="7"/>
  <c r="K91" i="8"/>
  <c r="M90" i="7"/>
  <c r="M91" i="8" s="1"/>
  <c r="M179" i="6" l="1"/>
  <c r="L179" i="6" s="1"/>
  <c r="L180" i="8" s="1"/>
  <c r="K180" i="6"/>
  <c r="B181" i="6"/>
  <c r="D180" i="6"/>
  <c r="C180" i="6"/>
  <c r="C181" i="8" s="1"/>
  <c r="K91" i="7"/>
  <c r="B92" i="8"/>
  <c r="D91" i="7"/>
  <c r="D92" i="8" s="1"/>
  <c r="D181" i="6" l="1"/>
  <c r="C181" i="6" s="1"/>
  <c r="C182" i="8" s="1"/>
  <c r="B182" i="6"/>
  <c r="K181" i="6"/>
  <c r="M180" i="6"/>
  <c r="L180" i="6" s="1"/>
  <c r="L181" i="8" s="1"/>
  <c r="B92" i="7"/>
  <c r="K92" i="8"/>
  <c r="M91" i="7"/>
  <c r="M92" i="8" s="1"/>
  <c r="M181" i="6" l="1"/>
  <c r="K182" i="6"/>
  <c r="L181" i="6"/>
  <c r="L182" i="8" s="1"/>
  <c r="D182" i="6"/>
  <c r="C182" i="6" s="1"/>
  <c r="C183" i="8" s="1"/>
  <c r="B183" i="6"/>
  <c r="K92" i="7"/>
  <c r="B93" i="8"/>
  <c r="D92" i="7"/>
  <c r="D93" i="8" s="1"/>
  <c r="D183" i="6" l="1"/>
  <c r="C183" i="6" s="1"/>
  <c r="C184" i="8" s="1"/>
  <c r="B184" i="6"/>
  <c r="M182" i="6"/>
  <c r="L182" i="6" s="1"/>
  <c r="L183" i="8" s="1"/>
  <c r="K183" i="6"/>
  <c r="B93" i="7"/>
  <c r="K93" i="8"/>
  <c r="M92" i="7"/>
  <c r="M93" i="8" s="1"/>
  <c r="D184" i="6" l="1"/>
  <c r="C184" i="6" s="1"/>
  <c r="C185" i="8" s="1"/>
  <c r="B185" i="6"/>
  <c r="M183" i="6"/>
  <c r="L183" i="6" s="1"/>
  <c r="L184" i="8" s="1"/>
  <c r="K184" i="6"/>
  <c r="K93" i="7"/>
  <c r="B94" i="8"/>
  <c r="D93" i="7"/>
  <c r="D94" i="8" s="1"/>
  <c r="K185" i="6" l="1"/>
  <c r="M184" i="6"/>
  <c r="L184" i="6" s="1"/>
  <c r="L185" i="8" s="1"/>
  <c r="B186" i="6"/>
  <c r="D185" i="6"/>
  <c r="C185" i="6" s="1"/>
  <c r="C186" i="8" s="1"/>
  <c r="B94" i="7"/>
  <c r="K94" i="8"/>
  <c r="M93" i="7"/>
  <c r="M94" i="8" s="1"/>
  <c r="B187" i="6" l="1"/>
  <c r="D186" i="6"/>
  <c r="C186" i="6" s="1"/>
  <c r="C187" i="8" s="1"/>
  <c r="M185" i="6"/>
  <c r="L185" i="6" s="1"/>
  <c r="L186" i="8" s="1"/>
  <c r="K186" i="6"/>
  <c r="K94" i="7"/>
  <c r="B95" i="8"/>
  <c r="D94" i="7"/>
  <c r="D95" i="8" s="1"/>
  <c r="M186" i="6" l="1"/>
  <c r="L186" i="6" s="1"/>
  <c r="L187" i="8" s="1"/>
  <c r="K187" i="6"/>
  <c r="B188" i="6"/>
  <c r="D187" i="6"/>
  <c r="C187" i="6" s="1"/>
  <c r="C188" i="8" s="1"/>
  <c r="B95" i="7"/>
  <c r="K95" i="8"/>
  <c r="M94" i="7"/>
  <c r="M95" i="8" s="1"/>
  <c r="B190" i="6" l="1"/>
  <c r="D188" i="6"/>
  <c r="C188" i="6"/>
  <c r="C189" i="8" s="1"/>
  <c r="M187" i="6"/>
  <c r="L187" i="6" s="1"/>
  <c r="L188" i="8" s="1"/>
  <c r="K188" i="6"/>
  <c r="K95" i="7"/>
  <c r="B96" i="8"/>
  <c r="D95" i="7"/>
  <c r="D96" i="8" s="1"/>
  <c r="M188" i="6" l="1"/>
  <c r="M189" i="6" s="1"/>
  <c r="K189" i="6"/>
  <c r="L188" i="6"/>
  <c r="B202" i="6"/>
  <c r="D190" i="6"/>
  <c r="D202" i="6" s="1"/>
  <c r="B191" i="6"/>
  <c r="B96" i="7"/>
  <c r="K96" i="8"/>
  <c r="M95" i="7"/>
  <c r="M96" i="8" s="1"/>
  <c r="C190" i="6" l="1"/>
  <c r="C191" i="8" s="1"/>
  <c r="C202" i="6"/>
  <c r="B203" i="6"/>
  <c r="L189" i="6"/>
  <c r="L189" i="8"/>
  <c r="L190" i="8" s="1"/>
  <c r="K190" i="6"/>
  <c r="B192" i="6"/>
  <c r="C191" i="6"/>
  <c r="K96" i="7"/>
  <c r="B97" i="8"/>
  <c r="D96" i="7"/>
  <c r="D97" i="8" s="1"/>
  <c r="C192" i="8" l="1"/>
  <c r="L190" i="6"/>
  <c r="L191" i="8" s="1"/>
  <c r="C203" i="6"/>
  <c r="C204" i="6" s="1"/>
  <c r="B204" i="6"/>
  <c r="C192" i="6"/>
  <c r="L191" i="6" s="1"/>
  <c r="K191" i="6"/>
  <c r="B193" i="6"/>
  <c r="B97" i="7"/>
  <c r="K97" i="8"/>
  <c r="M96" i="7"/>
  <c r="M97" i="8" s="1"/>
  <c r="C193" i="6" l="1"/>
  <c r="L192" i="6" s="1"/>
  <c r="K192" i="6"/>
  <c r="B194" i="6"/>
  <c r="K97" i="7"/>
  <c r="B98" i="8"/>
  <c r="D97" i="7"/>
  <c r="D98" i="8" s="1"/>
  <c r="C194" i="6" l="1"/>
  <c r="L193" i="6" s="1"/>
  <c r="B195" i="6"/>
  <c r="K193" i="6"/>
  <c r="K98" i="8"/>
  <c r="K99" i="8" s="1"/>
  <c r="M97" i="7"/>
  <c r="K98" i="7"/>
  <c r="B99" i="7" s="1"/>
  <c r="B196" i="6" l="1"/>
  <c r="C195" i="6"/>
  <c r="L194" i="6" s="1"/>
  <c r="K194" i="6"/>
  <c r="K99" i="7"/>
  <c r="B111" i="7"/>
  <c r="B100" i="8"/>
  <c r="B112" i="8" s="1"/>
  <c r="D99" i="7"/>
  <c r="M98" i="8"/>
  <c r="M99" i="8" s="1"/>
  <c r="M98" i="7"/>
  <c r="B197" i="6" l="1"/>
  <c r="C196" i="6"/>
  <c r="L195" i="6" s="1"/>
  <c r="K195" i="6"/>
  <c r="D111" i="7"/>
  <c r="D100" i="8"/>
  <c r="D112" i="8" s="1"/>
  <c r="B100" i="7"/>
  <c r="K100" i="8"/>
  <c r="M99" i="7"/>
  <c r="M100" i="8" s="1"/>
  <c r="K196" i="6" l="1"/>
  <c r="B198" i="6"/>
  <c r="C197" i="6"/>
  <c r="L196" i="6" s="1"/>
  <c r="K100" i="7"/>
  <c r="B101" i="8"/>
  <c r="D100" i="7"/>
  <c r="D101" i="8" s="1"/>
  <c r="C198" i="6" l="1"/>
  <c r="L197" i="6" s="1"/>
  <c r="B199" i="6"/>
  <c r="K197" i="6"/>
  <c r="B101" i="7"/>
  <c r="K101" i="8"/>
  <c r="M100" i="7"/>
  <c r="M101" i="8" s="1"/>
  <c r="K198" i="6" l="1"/>
  <c r="B200" i="6"/>
  <c r="C199" i="6"/>
  <c r="L198" i="6" s="1"/>
  <c r="K101" i="7"/>
  <c r="B102" i="8"/>
  <c r="D101" i="7"/>
  <c r="D102" i="8" s="1"/>
  <c r="B201" i="6" l="1"/>
  <c r="K199" i="6"/>
  <c r="C200" i="6"/>
  <c r="L199" i="6" s="1"/>
  <c r="B102" i="7"/>
  <c r="K102" i="8"/>
  <c r="M101" i="7"/>
  <c r="M102" i="8" s="1"/>
  <c r="K200" i="6" l="1"/>
  <c r="K201" i="6" s="1"/>
  <c r="C201" i="6"/>
  <c r="L200" i="6" s="1"/>
  <c r="K102" i="7"/>
  <c r="B103" i="8"/>
  <c r="D102" i="7"/>
  <c r="D103" i="8" s="1"/>
  <c r="L201" i="6" l="1"/>
  <c r="L202" i="6" s="1"/>
  <c r="K202" i="6"/>
  <c r="K203" i="6" s="1"/>
  <c r="K204" i="6" s="1"/>
  <c r="B103" i="7"/>
  <c r="K103" i="8"/>
  <c r="M102" i="7"/>
  <c r="M103" i="8" s="1"/>
  <c r="K103" i="7" l="1"/>
  <c r="B104" i="8"/>
  <c r="D103" i="7"/>
  <c r="D104" i="8" s="1"/>
  <c r="B104" i="7" l="1"/>
  <c r="K104" i="8"/>
  <c r="M103" i="7"/>
  <c r="M104" i="8" s="1"/>
  <c r="K104" i="7" l="1"/>
  <c r="B105" i="8"/>
  <c r="D104" i="7"/>
  <c r="D105" i="8" s="1"/>
  <c r="B105" i="7" l="1"/>
  <c r="K105" i="8"/>
  <c r="M104" i="7"/>
  <c r="M105" i="8" s="1"/>
  <c r="K105" i="7" l="1"/>
  <c r="B106" i="8"/>
  <c r="D105" i="7"/>
  <c r="D106" i="8" s="1"/>
  <c r="B106" i="7" l="1"/>
  <c r="K106" i="8"/>
  <c r="M105" i="7"/>
  <c r="M106" i="8" s="1"/>
  <c r="K106" i="7" l="1"/>
  <c r="B107" i="8"/>
  <c r="D106" i="7"/>
  <c r="D107" i="8" s="1"/>
  <c r="B107" i="7" l="1"/>
  <c r="K107" i="8"/>
  <c r="M106" i="7"/>
  <c r="M107" i="8" s="1"/>
  <c r="K107" i="7" l="1"/>
  <c r="B108" i="8"/>
  <c r="D107" i="7"/>
  <c r="D108" i="8" s="1"/>
  <c r="B108" i="7" l="1"/>
  <c r="K108" i="8"/>
  <c r="M107" i="7"/>
  <c r="M108" i="8" s="1"/>
  <c r="K108" i="7" l="1"/>
  <c r="B109" i="8"/>
  <c r="D108" i="7"/>
  <c r="D109" i="8" s="1"/>
  <c r="B109" i="7" l="1"/>
  <c r="K109" i="8"/>
  <c r="M108" i="7"/>
  <c r="M109" i="8" s="1"/>
  <c r="K109" i="7" l="1"/>
  <c r="B110" i="8"/>
  <c r="D109" i="7"/>
  <c r="D110" i="8" s="1"/>
  <c r="B110" i="7" l="1"/>
  <c r="K110" i="8"/>
  <c r="M109" i="7"/>
  <c r="M110" i="8" s="1"/>
  <c r="K110" i="7" l="1"/>
  <c r="B111" i="8"/>
  <c r="D110" i="7"/>
  <c r="D111" i="8" s="1"/>
  <c r="K111" i="8" l="1"/>
  <c r="K112" i="8" s="1"/>
  <c r="M110" i="7"/>
  <c r="K111" i="7"/>
  <c r="B112" i="7" s="1"/>
  <c r="K112" i="7" l="1"/>
  <c r="B124" i="7"/>
  <c r="B113" i="8"/>
  <c r="B125" i="8" s="1"/>
  <c r="D112" i="7"/>
  <c r="M111" i="8"/>
  <c r="M112" i="8" s="1"/>
  <c r="M111" i="7"/>
  <c r="D124" i="7" l="1"/>
  <c r="D113" i="8"/>
  <c r="D125" i="8" s="1"/>
  <c r="B113" i="7"/>
  <c r="K113" i="8"/>
  <c r="M112" i="7"/>
  <c r="M113" i="8" s="1"/>
  <c r="K113" i="7" l="1"/>
  <c r="B114" i="8"/>
  <c r="D113" i="7"/>
  <c r="D114" i="8" s="1"/>
  <c r="B114" i="7" l="1"/>
  <c r="K114" i="8"/>
  <c r="M113" i="7"/>
  <c r="M114" i="8" s="1"/>
  <c r="K114" i="7" l="1"/>
  <c r="B115" i="8"/>
  <c r="D114" i="7"/>
  <c r="D115" i="8" s="1"/>
  <c r="B115" i="7" l="1"/>
  <c r="M114" i="7"/>
  <c r="M115" i="8" s="1"/>
  <c r="K115" i="8"/>
  <c r="K115" i="7" l="1"/>
  <c r="B116" i="8"/>
  <c r="D115" i="7"/>
  <c r="D116" i="8" s="1"/>
  <c r="B116" i="7" l="1"/>
  <c r="M115" i="7"/>
  <c r="M116" i="8" s="1"/>
  <c r="K116" i="8"/>
  <c r="K116" i="7" l="1"/>
  <c r="D116" i="7"/>
  <c r="D117" i="8" s="1"/>
  <c r="B117" i="8"/>
  <c r="B117" i="7" l="1"/>
  <c r="M116" i="7"/>
  <c r="M117" i="8" s="1"/>
  <c r="K117" i="8"/>
  <c r="K117" i="7" l="1"/>
  <c r="D117" i="7"/>
  <c r="D118" i="8" s="1"/>
  <c r="B118" i="8"/>
  <c r="B118" i="7" l="1"/>
  <c r="M117" i="7"/>
  <c r="M118" i="8" s="1"/>
  <c r="K118" i="8"/>
  <c r="K118" i="7" l="1"/>
  <c r="D118" i="7"/>
  <c r="D119" i="8" s="1"/>
  <c r="B119" i="8"/>
  <c r="B119" i="7" l="1"/>
  <c r="M118" i="7"/>
  <c r="M119" i="8" s="1"/>
  <c r="K119" i="8"/>
  <c r="K119" i="7" l="1"/>
  <c r="D119" i="7"/>
  <c r="D120" i="8" s="1"/>
  <c r="B120" i="8"/>
  <c r="B120" i="7" l="1"/>
  <c r="M119" i="7"/>
  <c r="M120" i="8" s="1"/>
  <c r="K120" i="8"/>
  <c r="K120" i="7" l="1"/>
  <c r="D120" i="7"/>
  <c r="D121" i="8" s="1"/>
  <c r="B121" i="8"/>
  <c r="B121" i="7" l="1"/>
  <c r="M120" i="7"/>
  <c r="M121" i="8" s="1"/>
  <c r="K121" i="8"/>
  <c r="K121" i="7" l="1"/>
  <c r="D121" i="7"/>
  <c r="D122" i="8" s="1"/>
  <c r="B122" i="8"/>
  <c r="B122" i="7" l="1"/>
  <c r="M121" i="7"/>
  <c r="M122" i="8" s="1"/>
  <c r="K122" i="8"/>
  <c r="K122" i="7" l="1"/>
  <c r="D122" i="7"/>
  <c r="D123" i="8" s="1"/>
  <c r="B123" i="8"/>
  <c r="B123" i="7" l="1"/>
  <c r="M122" i="7"/>
  <c r="M123" i="8" s="1"/>
  <c r="K123" i="8"/>
  <c r="K123" i="7" l="1"/>
  <c r="D123" i="7"/>
  <c r="D124" i="8" s="1"/>
  <c r="B124" i="8"/>
  <c r="M123" i="7" l="1"/>
  <c r="K124" i="8"/>
  <c r="K125" i="8" s="1"/>
  <c r="K124" i="7"/>
  <c r="B125" i="7" s="1"/>
  <c r="K125" i="7" l="1"/>
  <c r="B137" i="7"/>
  <c r="D125" i="7"/>
  <c r="B126" i="8"/>
  <c r="B138" i="8" s="1"/>
  <c r="M124" i="8"/>
  <c r="M125" i="8" s="1"/>
  <c r="M124" i="7"/>
  <c r="D137" i="7" l="1"/>
  <c r="D126" i="8"/>
  <c r="D138" i="8" s="1"/>
  <c r="B126" i="7"/>
  <c r="M125" i="7"/>
  <c r="M126" i="8" s="1"/>
  <c r="K126" i="8"/>
  <c r="K126" i="7" l="1"/>
  <c r="D126" i="7"/>
  <c r="D127" i="8" s="1"/>
  <c r="B127" i="8"/>
  <c r="B127" i="7" l="1"/>
  <c r="M126" i="7"/>
  <c r="M127" i="8" s="1"/>
  <c r="K127" i="8"/>
  <c r="K127" i="7" l="1"/>
  <c r="D127" i="7"/>
  <c r="D128" i="8" s="1"/>
  <c r="B128" i="8"/>
  <c r="B128" i="7" l="1"/>
  <c r="M127" i="7"/>
  <c r="M128" i="8" s="1"/>
  <c r="K128" i="8"/>
  <c r="K128" i="7" l="1"/>
  <c r="D128" i="7"/>
  <c r="D129" i="8" s="1"/>
  <c r="B129" i="8"/>
  <c r="B129" i="7" l="1"/>
  <c r="M128" i="7"/>
  <c r="M129" i="8" s="1"/>
  <c r="K129" i="8"/>
  <c r="K129" i="7" l="1"/>
  <c r="D129" i="7"/>
  <c r="D130" i="8" s="1"/>
  <c r="B130" i="8"/>
  <c r="B130" i="7" l="1"/>
  <c r="M129" i="7"/>
  <c r="M130" i="8" s="1"/>
  <c r="K130" i="8"/>
  <c r="K130" i="7" l="1"/>
  <c r="D130" i="7"/>
  <c r="D131" i="8" s="1"/>
  <c r="B131" i="8"/>
  <c r="B131" i="7" l="1"/>
  <c r="M130" i="7"/>
  <c r="M131" i="8" s="1"/>
  <c r="K131" i="8"/>
  <c r="K131" i="7" l="1"/>
  <c r="D131" i="7"/>
  <c r="D132" i="8" s="1"/>
  <c r="B132" i="8"/>
  <c r="B132" i="7" l="1"/>
  <c r="M131" i="7"/>
  <c r="M132" i="8" s="1"/>
  <c r="K132" i="8"/>
  <c r="K132" i="7" l="1"/>
  <c r="D132" i="7"/>
  <c r="D133" i="8" s="1"/>
  <c r="B133" i="8"/>
  <c r="B133" i="7" l="1"/>
  <c r="M132" i="7"/>
  <c r="M133" i="8" s="1"/>
  <c r="K133" i="8"/>
  <c r="K133" i="7" l="1"/>
  <c r="D133" i="7"/>
  <c r="D134" i="8" s="1"/>
  <c r="B134" i="8"/>
  <c r="B134" i="7" l="1"/>
  <c r="M133" i="7"/>
  <c r="M134" i="8" s="1"/>
  <c r="K134" i="8"/>
  <c r="K134" i="7" l="1"/>
  <c r="D134" i="7"/>
  <c r="D135" i="8" s="1"/>
  <c r="B135" i="8"/>
  <c r="B135" i="7" l="1"/>
  <c r="M134" i="7"/>
  <c r="M135" i="8" s="1"/>
  <c r="K135" i="8"/>
  <c r="K135" i="7" l="1"/>
  <c r="D135" i="7"/>
  <c r="D136" i="8" s="1"/>
  <c r="B136" i="8"/>
  <c r="B136" i="7" l="1"/>
  <c r="M135" i="7"/>
  <c r="M136" i="8" s="1"/>
  <c r="K136" i="8"/>
  <c r="K136" i="7" l="1"/>
  <c r="D136" i="7"/>
  <c r="D137" i="8" s="1"/>
  <c r="B137" i="8"/>
  <c r="M136" i="7" l="1"/>
  <c r="K137" i="8"/>
  <c r="K138" i="8" s="1"/>
  <c r="K137" i="7"/>
  <c r="B138" i="7" s="1"/>
  <c r="K138" i="7" l="1"/>
  <c r="B150" i="7"/>
  <c r="D138" i="7"/>
  <c r="B139" i="8"/>
  <c r="B151" i="8" s="1"/>
  <c r="M137" i="8"/>
  <c r="M138" i="8" s="1"/>
  <c r="M137" i="7"/>
  <c r="D150" i="7" l="1"/>
  <c r="D139" i="8"/>
  <c r="D151" i="8" s="1"/>
  <c r="B139" i="7"/>
  <c r="M138" i="7"/>
  <c r="M139" i="8" s="1"/>
  <c r="K139" i="8"/>
  <c r="K139" i="7" l="1"/>
  <c r="D139" i="7"/>
  <c r="D140" i="8" s="1"/>
  <c r="B140" i="8"/>
  <c r="B140" i="7" l="1"/>
  <c r="M139" i="7"/>
  <c r="M140" i="8" s="1"/>
  <c r="K140" i="8"/>
  <c r="K140" i="7" l="1"/>
  <c r="D140" i="7"/>
  <c r="D141" i="8" s="1"/>
  <c r="B141" i="8"/>
  <c r="B141" i="7" l="1"/>
  <c r="M140" i="7"/>
  <c r="M141" i="8" s="1"/>
  <c r="K141" i="8"/>
  <c r="K141" i="7" l="1"/>
  <c r="D141" i="7"/>
  <c r="D142" i="8" s="1"/>
  <c r="B142" i="8"/>
  <c r="B142" i="7" l="1"/>
  <c r="M141" i="7"/>
  <c r="M142" i="8" s="1"/>
  <c r="K142" i="8"/>
  <c r="K142" i="7" l="1"/>
  <c r="D142" i="7"/>
  <c r="D143" i="8" s="1"/>
  <c r="B143" i="8"/>
  <c r="B143" i="7" l="1"/>
  <c r="M142" i="7"/>
  <c r="M143" i="8" s="1"/>
  <c r="K143" i="8"/>
  <c r="K143" i="7" l="1"/>
  <c r="D143" i="7"/>
  <c r="D144" i="8" s="1"/>
  <c r="B144" i="8"/>
  <c r="B144" i="7" l="1"/>
  <c r="M143" i="7"/>
  <c r="M144" i="8" s="1"/>
  <c r="K144" i="8"/>
  <c r="K144" i="7" l="1"/>
  <c r="D144" i="7"/>
  <c r="D145" i="8" s="1"/>
  <c r="B145" i="8"/>
  <c r="B145" i="7" l="1"/>
  <c r="M144" i="7"/>
  <c r="M145" i="8" s="1"/>
  <c r="K145" i="8"/>
  <c r="K145" i="7" l="1"/>
  <c r="D145" i="7"/>
  <c r="D146" i="8" s="1"/>
  <c r="B146" i="8"/>
  <c r="B146" i="7" l="1"/>
  <c r="M145" i="7"/>
  <c r="M146" i="8" s="1"/>
  <c r="K146" i="8"/>
  <c r="K146" i="7" l="1"/>
  <c r="D146" i="7"/>
  <c r="D147" i="8" s="1"/>
  <c r="B147" i="8"/>
  <c r="B147" i="7" l="1"/>
  <c r="M146" i="7"/>
  <c r="M147" i="8" s="1"/>
  <c r="K147" i="8"/>
  <c r="K147" i="7" l="1"/>
  <c r="D147" i="7"/>
  <c r="D148" i="8" s="1"/>
  <c r="B148" i="8"/>
  <c r="B148" i="7" l="1"/>
  <c r="M147" i="7"/>
  <c r="M148" i="8" s="1"/>
  <c r="K148" i="8"/>
  <c r="K148" i="7" l="1"/>
  <c r="D148" i="7"/>
  <c r="D149" i="8" s="1"/>
  <c r="B149" i="8"/>
  <c r="B149" i="7" l="1"/>
  <c r="M148" i="7"/>
  <c r="M149" i="8" s="1"/>
  <c r="K149" i="8"/>
  <c r="K149" i="7" l="1"/>
  <c r="D149" i="7"/>
  <c r="D150" i="8" s="1"/>
  <c r="B150" i="8"/>
  <c r="M149" i="7" l="1"/>
  <c r="K150" i="8"/>
  <c r="K151" i="8" s="1"/>
  <c r="K150" i="7"/>
  <c r="B151" i="7" s="1"/>
  <c r="K151" i="7" l="1"/>
  <c r="B163" i="7"/>
  <c r="D151" i="7"/>
  <c r="B152" i="8"/>
  <c r="B164" i="8" s="1"/>
  <c r="M150" i="8"/>
  <c r="M151" i="8" s="1"/>
  <c r="M150" i="7"/>
  <c r="D163" i="7" l="1"/>
  <c r="D152" i="8"/>
  <c r="D164" i="8" s="1"/>
  <c r="B152" i="7"/>
  <c r="M151" i="7"/>
  <c r="M152" i="8" s="1"/>
  <c r="K152" i="8"/>
  <c r="K152" i="7" l="1"/>
  <c r="D152" i="7"/>
  <c r="D153" i="8" s="1"/>
  <c r="B153" i="8"/>
  <c r="B153" i="7" l="1"/>
  <c r="M152" i="7"/>
  <c r="M153" i="8" s="1"/>
  <c r="K153" i="8"/>
  <c r="K153" i="7" l="1"/>
  <c r="D153" i="7"/>
  <c r="D154" i="8" s="1"/>
  <c r="B154" i="8"/>
  <c r="B154" i="7" l="1"/>
  <c r="M153" i="7"/>
  <c r="M154" i="8" s="1"/>
  <c r="K154" i="8"/>
  <c r="K154" i="7" l="1"/>
  <c r="D154" i="7"/>
  <c r="D155" i="8" s="1"/>
  <c r="B155" i="8"/>
  <c r="B155" i="7" l="1"/>
  <c r="M154" i="7"/>
  <c r="M155" i="8" s="1"/>
  <c r="K155" i="8"/>
  <c r="K155" i="7" l="1"/>
  <c r="D155" i="7"/>
  <c r="D156" i="8" s="1"/>
  <c r="B156" i="8"/>
  <c r="B156" i="7" l="1"/>
  <c r="M155" i="7"/>
  <c r="M156" i="8" s="1"/>
  <c r="K156" i="8"/>
  <c r="K156" i="7" l="1"/>
  <c r="D156" i="7"/>
  <c r="D157" i="8" s="1"/>
  <c r="B157" i="8"/>
  <c r="B157" i="7" l="1"/>
  <c r="M156" i="7"/>
  <c r="M157" i="8" s="1"/>
  <c r="K157" i="8"/>
  <c r="K157" i="7" l="1"/>
  <c r="D157" i="7"/>
  <c r="D158" i="8" s="1"/>
  <c r="B158" i="8"/>
  <c r="B158" i="7" l="1"/>
  <c r="M157" i="7"/>
  <c r="M158" i="8" s="1"/>
  <c r="K158" i="8"/>
  <c r="K158" i="7" l="1"/>
  <c r="D158" i="7"/>
  <c r="D159" i="8" s="1"/>
  <c r="B159" i="8"/>
  <c r="B159" i="7" l="1"/>
  <c r="M158" i="7"/>
  <c r="M159" i="8" s="1"/>
  <c r="K159" i="8"/>
  <c r="K159" i="7" l="1"/>
  <c r="D159" i="7"/>
  <c r="D160" i="8" s="1"/>
  <c r="B160" i="8"/>
  <c r="B160" i="7" l="1"/>
  <c r="M159" i="7"/>
  <c r="M160" i="8" s="1"/>
  <c r="K160" i="8"/>
  <c r="K160" i="7" l="1"/>
  <c r="D160" i="7"/>
  <c r="D161" i="8" s="1"/>
  <c r="B161" i="8"/>
  <c r="B161" i="7" l="1"/>
  <c r="M160" i="7"/>
  <c r="M161" i="8" s="1"/>
  <c r="K161" i="8"/>
  <c r="K161" i="7" l="1"/>
  <c r="D161" i="7"/>
  <c r="D162" i="8" s="1"/>
  <c r="B162" i="8"/>
  <c r="B162" i="7" l="1"/>
  <c r="M161" i="7"/>
  <c r="M162" i="8" s="1"/>
  <c r="K162" i="8"/>
  <c r="K162" i="7" l="1"/>
  <c r="D162" i="7"/>
  <c r="D163" i="8" s="1"/>
  <c r="B163" i="8"/>
  <c r="M162" i="7" l="1"/>
  <c r="K163" i="8"/>
  <c r="K164" i="8" s="1"/>
  <c r="K163" i="7"/>
  <c r="B164" i="7" s="1"/>
  <c r="K164" i="7" l="1"/>
  <c r="B176" i="7"/>
  <c r="D164" i="7"/>
  <c r="B165" i="8"/>
  <c r="B177" i="8" s="1"/>
  <c r="M163" i="8"/>
  <c r="M164" i="8" s="1"/>
  <c r="M163" i="7"/>
  <c r="D176" i="7" l="1"/>
  <c r="D165" i="8"/>
  <c r="D177" i="8" s="1"/>
  <c r="B165" i="7"/>
  <c r="M164" i="7"/>
  <c r="M165" i="8" s="1"/>
  <c r="K165" i="8"/>
  <c r="K165" i="7" l="1"/>
  <c r="D165" i="7"/>
  <c r="D166" i="8" s="1"/>
  <c r="B166" i="8"/>
  <c r="B166" i="7" l="1"/>
  <c r="M165" i="7"/>
  <c r="M166" i="8" s="1"/>
  <c r="K166" i="8"/>
  <c r="K166" i="7" l="1"/>
  <c r="D166" i="7"/>
  <c r="D167" i="8" s="1"/>
  <c r="B167" i="8"/>
  <c r="B167" i="7" l="1"/>
  <c r="M166" i="7"/>
  <c r="M167" i="8" s="1"/>
  <c r="K167" i="8"/>
  <c r="K167" i="7" l="1"/>
  <c r="D167" i="7"/>
  <c r="D168" i="8" s="1"/>
  <c r="B168" i="8"/>
  <c r="B168" i="7" l="1"/>
  <c r="M167" i="7"/>
  <c r="M168" i="8" s="1"/>
  <c r="K168" i="8"/>
  <c r="K168" i="7" l="1"/>
  <c r="D168" i="7"/>
  <c r="D169" i="8" s="1"/>
  <c r="B169" i="8"/>
  <c r="B169" i="7" l="1"/>
  <c r="M168" i="7"/>
  <c r="M169" i="8" s="1"/>
  <c r="K169" i="8"/>
  <c r="K169" i="7" l="1"/>
  <c r="D169" i="7"/>
  <c r="D170" i="8" s="1"/>
  <c r="B170" i="8"/>
  <c r="B170" i="7" l="1"/>
  <c r="M169" i="7"/>
  <c r="M170" i="8" s="1"/>
  <c r="K170" i="8"/>
  <c r="K170" i="7" l="1"/>
  <c r="D170" i="7"/>
  <c r="D171" i="8" s="1"/>
  <c r="B171" i="8"/>
  <c r="B171" i="7" l="1"/>
  <c r="M170" i="7"/>
  <c r="M171" i="8" s="1"/>
  <c r="K171" i="8"/>
  <c r="K171" i="7" l="1"/>
  <c r="D171" i="7"/>
  <c r="D172" i="8" s="1"/>
  <c r="B172" i="8"/>
  <c r="B172" i="7" l="1"/>
  <c r="M171" i="7"/>
  <c r="M172" i="8" s="1"/>
  <c r="K172" i="8"/>
  <c r="K172" i="7" l="1"/>
  <c r="D172" i="7"/>
  <c r="D173" i="8" s="1"/>
  <c r="B173" i="8"/>
  <c r="B173" i="7" l="1"/>
  <c r="M172" i="7"/>
  <c r="M173" i="8" s="1"/>
  <c r="K173" i="8"/>
  <c r="K173" i="7" l="1"/>
  <c r="D173" i="7"/>
  <c r="D174" i="8" s="1"/>
  <c r="B174" i="8"/>
  <c r="B174" i="7" l="1"/>
  <c r="M173" i="7"/>
  <c r="M174" i="8" s="1"/>
  <c r="K174" i="8"/>
  <c r="K174" i="7" l="1"/>
  <c r="D174" i="7"/>
  <c r="D175" i="8" s="1"/>
  <c r="B175" i="8"/>
  <c r="B175" i="7" l="1"/>
  <c r="M174" i="7"/>
  <c r="M175" i="8" s="1"/>
  <c r="K175" i="8"/>
  <c r="K175" i="7" l="1"/>
  <c r="D175" i="7"/>
  <c r="D176" i="8" s="1"/>
  <c r="B176" i="8"/>
  <c r="M175" i="7" l="1"/>
  <c r="K176" i="8"/>
  <c r="K177" i="8" s="1"/>
  <c r="K176" i="7"/>
  <c r="B177" i="7" s="1"/>
  <c r="K177" i="7" l="1"/>
  <c r="B189" i="7"/>
  <c r="D177" i="7"/>
  <c r="B178" i="8"/>
  <c r="B190" i="8" s="1"/>
  <c r="M176" i="8"/>
  <c r="M177" i="8" s="1"/>
  <c r="M176" i="7"/>
  <c r="D189" i="7" l="1"/>
  <c r="D178" i="8"/>
  <c r="D190" i="8" s="1"/>
  <c r="B178" i="7"/>
  <c r="M177" i="7"/>
  <c r="M178" i="8" s="1"/>
  <c r="K178" i="8"/>
  <c r="K178" i="7" l="1"/>
  <c r="D178" i="7"/>
  <c r="D179" i="8" s="1"/>
  <c r="B179" i="8"/>
  <c r="B179" i="7" l="1"/>
  <c r="M178" i="7"/>
  <c r="M179" i="8" s="1"/>
  <c r="K179" i="8"/>
  <c r="K179" i="7" l="1"/>
  <c r="D179" i="7"/>
  <c r="D180" i="8" s="1"/>
  <c r="B180" i="8"/>
  <c r="B180" i="7" l="1"/>
  <c r="M179" i="7"/>
  <c r="M180" i="8" s="1"/>
  <c r="K180" i="8"/>
  <c r="K180" i="7" l="1"/>
  <c r="D180" i="7"/>
  <c r="D181" i="8" s="1"/>
  <c r="B181" i="8"/>
  <c r="B181" i="7" l="1"/>
  <c r="M180" i="7"/>
  <c r="M181" i="8" s="1"/>
  <c r="K181" i="8"/>
  <c r="K181" i="7" l="1"/>
  <c r="D181" i="7"/>
  <c r="D182" i="8" s="1"/>
  <c r="B182" i="8"/>
  <c r="B182" i="7" l="1"/>
  <c r="M181" i="7"/>
  <c r="M182" i="8" s="1"/>
  <c r="K182" i="8"/>
  <c r="K182" i="7" l="1"/>
  <c r="D182" i="7"/>
  <c r="D183" i="8" s="1"/>
  <c r="B183" i="8"/>
  <c r="B183" i="7" l="1"/>
  <c r="M182" i="7"/>
  <c r="M183" i="8" s="1"/>
  <c r="K183" i="8"/>
  <c r="K183" i="7" l="1"/>
  <c r="D183" i="7"/>
  <c r="D184" i="8" s="1"/>
  <c r="B184" i="8"/>
  <c r="B184" i="7" l="1"/>
  <c r="M183" i="7"/>
  <c r="M184" i="8" s="1"/>
  <c r="K184" i="8"/>
  <c r="K184" i="7" l="1"/>
  <c r="D184" i="7"/>
  <c r="D185" i="8" s="1"/>
  <c r="B185" i="8"/>
  <c r="B185" i="7" l="1"/>
  <c r="M184" i="7"/>
  <c r="M185" i="8" s="1"/>
  <c r="K185" i="8"/>
  <c r="K185" i="7" l="1"/>
  <c r="D185" i="7"/>
  <c r="D186" i="8" s="1"/>
  <c r="B186" i="8"/>
  <c r="B186" i="7" l="1"/>
  <c r="M185" i="7"/>
  <c r="M186" i="8" s="1"/>
  <c r="K186" i="8"/>
  <c r="K186" i="7" l="1"/>
  <c r="D186" i="7"/>
  <c r="D187" i="8" s="1"/>
  <c r="B187" i="8"/>
  <c r="B187" i="7" l="1"/>
  <c r="M186" i="7"/>
  <c r="M187" i="8" s="1"/>
  <c r="K187" i="8"/>
  <c r="K187" i="7" l="1"/>
  <c r="D187" i="7"/>
  <c r="D188" i="8" s="1"/>
  <c r="B188" i="8"/>
  <c r="B188" i="7" l="1"/>
  <c r="M187" i="7"/>
  <c r="M188" i="8" s="1"/>
  <c r="K188" i="8"/>
  <c r="K188" i="7" l="1"/>
  <c r="D188" i="7"/>
  <c r="D189" i="8" s="1"/>
  <c r="B189" i="8"/>
  <c r="M188" i="7" l="1"/>
  <c r="K189" i="8"/>
  <c r="K190" i="8" s="1"/>
  <c r="K189" i="7"/>
  <c r="B190" i="7" s="1"/>
  <c r="K190" i="7" l="1"/>
  <c r="B202" i="7"/>
  <c r="D190" i="7"/>
  <c r="B191" i="8"/>
  <c r="B203" i="8" s="1"/>
  <c r="M189" i="8"/>
  <c r="M190" i="8" s="1"/>
  <c r="M189" i="7"/>
  <c r="D202" i="7" l="1"/>
  <c r="D191" i="8"/>
  <c r="D203" i="8" s="1"/>
  <c r="C203" i="8" s="1"/>
  <c r="B191" i="7"/>
  <c r="M190" i="7"/>
  <c r="K191" i="8"/>
  <c r="K191" i="7" l="1"/>
  <c r="D191" i="7"/>
  <c r="D192" i="8" s="1"/>
  <c r="B192" i="8"/>
  <c r="M191" i="8"/>
  <c r="M191" i="7"/>
  <c r="M192" i="8" l="1"/>
  <c r="M192" i="7"/>
  <c r="B192" i="7"/>
  <c r="L191" i="7"/>
  <c r="K192" i="8"/>
  <c r="K192" i="7" l="1"/>
  <c r="B193" i="8"/>
  <c r="M193" i="7"/>
  <c r="M193" i="8"/>
  <c r="C192" i="7"/>
  <c r="L192" i="8"/>
  <c r="M194" i="7" l="1"/>
  <c r="M194" i="8"/>
  <c r="D192" i="7"/>
  <c r="D193" i="8" s="1"/>
  <c r="C193" i="8"/>
  <c r="B193" i="7"/>
  <c r="L192" i="7"/>
  <c r="K193" i="8"/>
  <c r="C193" i="7" l="1"/>
  <c r="L193" i="8"/>
  <c r="K193" i="7"/>
  <c r="B194" i="8"/>
  <c r="M195" i="7"/>
  <c r="M195" i="8"/>
  <c r="B194" i="7" l="1"/>
  <c r="L193" i="7"/>
  <c r="K194" i="8"/>
  <c r="M196" i="7"/>
  <c r="M196" i="8"/>
  <c r="D193" i="7"/>
  <c r="D194" i="8" s="1"/>
  <c r="C194" i="8"/>
  <c r="M197" i="7" l="1"/>
  <c r="M197" i="8"/>
  <c r="C194" i="7"/>
  <c r="L194" i="8"/>
  <c r="K194" i="7"/>
  <c r="B195" i="8"/>
  <c r="B195" i="7" l="1"/>
  <c r="L194" i="7"/>
  <c r="K195" i="8"/>
  <c r="D194" i="7"/>
  <c r="D195" i="8" s="1"/>
  <c r="C195" i="8"/>
  <c r="M198" i="7"/>
  <c r="M198" i="8"/>
  <c r="M199" i="7" l="1"/>
  <c r="M199" i="8"/>
  <c r="C195" i="7"/>
  <c r="L195" i="8"/>
  <c r="K195" i="7"/>
  <c r="B196" i="8"/>
  <c r="D195" i="7" l="1"/>
  <c r="D196" i="8" s="1"/>
  <c r="C196" i="8"/>
  <c r="B196" i="7"/>
  <c r="L195" i="7"/>
  <c r="K196" i="8"/>
  <c r="M200" i="7"/>
  <c r="M200" i="8"/>
  <c r="C196" i="7" l="1"/>
  <c r="L196" i="8"/>
  <c r="K196" i="7"/>
  <c r="B197" i="8"/>
  <c r="M201" i="7"/>
  <c r="M201" i="8"/>
  <c r="B197" i="7" l="1"/>
  <c r="L196" i="7"/>
  <c r="K197" i="8"/>
  <c r="M202" i="8"/>
  <c r="M203" i="8" s="1"/>
  <c r="M202" i="7"/>
  <c r="D196" i="7"/>
  <c r="D197" i="8" s="1"/>
  <c r="C197" i="8"/>
  <c r="C197" i="7" l="1"/>
  <c r="L197" i="8"/>
  <c r="K197" i="7"/>
  <c r="B198" i="8"/>
  <c r="B198" i="7" l="1"/>
  <c r="L197" i="7"/>
  <c r="K198" i="8"/>
  <c r="D197" i="7"/>
  <c r="D198" i="8" s="1"/>
  <c r="C198" i="8"/>
  <c r="C198" i="7" l="1"/>
  <c r="L198" i="8"/>
  <c r="K198" i="7"/>
  <c r="B199" i="8"/>
  <c r="B199" i="7" l="1"/>
  <c r="L198" i="7"/>
  <c r="K199" i="8"/>
  <c r="D198" i="7"/>
  <c r="D199" i="8" s="1"/>
  <c r="C199" i="8"/>
  <c r="C199" i="7" l="1"/>
  <c r="L199" i="8"/>
  <c r="K199" i="7"/>
  <c r="B200" i="8"/>
  <c r="B200" i="7" l="1"/>
  <c r="L199" i="7"/>
  <c r="K200" i="8"/>
  <c r="D199" i="7"/>
  <c r="D200" i="8" s="1"/>
  <c r="C200" i="8"/>
  <c r="C200" i="7" l="1"/>
  <c r="L200" i="8"/>
  <c r="K200" i="7"/>
  <c r="B201" i="8"/>
  <c r="B201" i="7" l="1"/>
  <c r="L200" i="7"/>
  <c r="K201" i="8"/>
  <c r="D200" i="7"/>
  <c r="D201" i="8" s="1"/>
  <c r="C201" i="8"/>
  <c r="K201" i="7" l="1"/>
  <c r="B202" i="8"/>
  <c r="C201" i="7"/>
  <c r="L201" i="8"/>
  <c r="D201" i="7" l="1"/>
  <c r="D202" i="8" s="1"/>
  <c r="C202" i="8"/>
  <c r="L201" i="7"/>
  <c r="K202" i="8"/>
  <c r="K203" i="8" s="1"/>
  <c r="K202" i="7"/>
  <c r="B203" i="7" s="1"/>
  <c r="C203" i="7" l="1"/>
  <c r="L202" i="8"/>
  <c r="L203" i="8" s="1"/>
  <c r="L202" i="7"/>
  <c r="B204" i="8"/>
  <c r="B205" i="8" s="1"/>
  <c r="B204" i="7"/>
  <c r="K203" i="7"/>
  <c r="K204" i="7" l="1"/>
  <c r="K204" i="8"/>
  <c r="K205" i="8" s="1"/>
  <c r="D203" i="7"/>
  <c r="C204" i="8"/>
  <c r="C205" i="8" s="1"/>
  <c r="C204" i="7"/>
  <c r="D204" i="8" l="1"/>
  <c r="D205" i="8" s="1"/>
  <c r="D204" i="7"/>
</calcChain>
</file>

<file path=xl/sharedStrings.xml><?xml version="1.0" encoding="utf-8"?>
<sst xmlns="http://schemas.openxmlformats.org/spreadsheetml/2006/main" count="231" uniqueCount="176">
  <si>
    <t>Период</t>
  </si>
  <si>
    <t>Выкупная стоимость, руб без НДС</t>
  </si>
  <si>
    <t>Лизинговый платеж, руб. без НДС</t>
  </si>
  <si>
    <t>Оплата по договору, руб. без НДС</t>
  </si>
  <si>
    <t>Ставка НДС, %</t>
  </si>
  <si>
    <t>Величина НДС, руб.</t>
  </si>
  <si>
    <t>Сумма платежа, руб с НДС</t>
  </si>
  <si>
    <t>ИТОГО</t>
  </si>
  <si>
    <t>Величина договора</t>
  </si>
  <si>
    <t>Значение</t>
  </si>
  <si>
    <t>без НДС</t>
  </si>
  <si>
    <t>НДС</t>
  </si>
  <si>
    <t>Ставка НДС</t>
  </si>
  <si>
    <t>Лизинговый платеж</t>
  </si>
  <si>
    <t>Срок лизинга, мес.</t>
  </si>
  <si>
    <t>с НДС</t>
  </si>
  <si>
    <t>Выкупная стоимость</t>
  </si>
  <si>
    <t>Ежемесячное начисление выкупной стоимости по 2018 году</t>
  </si>
  <si>
    <t>Ежемесячное начисление выкупной стоимости по 2019 и в последующих годах</t>
  </si>
  <si>
    <t>Величина финансирования, предусмотренная инвестиционной программой на 2019 год</t>
  </si>
  <si>
    <t>Величина финансирования, предусмотренная инвестиционной программой на 2020 год</t>
  </si>
  <si>
    <t>Величина финансирования, предусмотренная инвестиционной программой на 2021 год</t>
  </si>
  <si>
    <t>Величина финансирования, предусмотренная инвестиционной программой на 2022 год</t>
  </si>
  <si>
    <t>Величина финансирования, предусмотренная инвестиционной программой на 2023 год</t>
  </si>
  <si>
    <t>Величина финансирования, предусмотренная инвестиционной программой на 2024 год</t>
  </si>
  <si>
    <t>Величина финансирования, предусмотренная инвестиционной программой на 2025 год</t>
  </si>
  <si>
    <t>Величина финансирования, предусмотренная инвестиционной программой на 2026 год</t>
  </si>
  <si>
    <t>Величина финансирования, предусмотренная инвестиционной программой на 2027 год</t>
  </si>
  <si>
    <t>Величина финансирования, предусмотренная инвестиционной программой на 2028 год</t>
  </si>
  <si>
    <t>Величина финансирования, предусмотренная инвестиционной программой на 2029 год</t>
  </si>
  <si>
    <t>Величина финансирования, предусмотренная инвестиционной программой на 2030 год</t>
  </si>
  <si>
    <t>Величина финансирования, предусмотренная инвестиционной программой на 2031 год</t>
  </si>
  <si>
    <t>Величина финансирования, предусмотренная инвестиционной программой на 2032 год</t>
  </si>
  <si>
    <t>Величина финансирования, предусмотренная инвестиционной программой на 2033 год</t>
  </si>
  <si>
    <t>Срок лизинга по 2018 году, предусмотренный инвестпрограммой, мес.</t>
  </si>
  <si>
    <t>Величина, подлежащая финансированию в 2018 году</t>
  </si>
  <si>
    <t>в т.ч. в части выкупной стоимости</t>
  </si>
  <si>
    <t>в т.ч. в части лизингового платежа</t>
  </si>
  <si>
    <r>
      <t>Лизинговый платеж</t>
    </r>
    <r>
      <rPr>
        <sz val="14"/>
        <color rgb="FF000000"/>
        <rFont val="Arial Narrow"/>
        <family val="2"/>
        <charset val="204"/>
      </rPr>
      <t>, руб., с учетом НДС</t>
    </r>
  </si>
  <si>
    <r>
      <t>НДС,</t>
    </r>
    <r>
      <rPr>
        <sz val="14"/>
        <color rgb="FF000000"/>
        <rFont val="Arial Narrow"/>
        <family val="2"/>
        <charset val="204"/>
      </rPr>
      <t xml:space="preserve"> руб., с выкупной стоимости</t>
    </r>
  </si>
  <si>
    <r>
      <t>Выкупная стоимость,</t>
    </r>
    <r>
      <rPr>
        <sz val="14"/>
        <color rgb="FF000000"/>
        <rFont val="Arial Narrow"/>
        <family val="2"/>
        <charset val="204"/>
      </rPr>
      <t xml:space="preserve"> руб., без НДС</t>
    </r>
  </si>
  <si>
    <r>
      <t xml:space="preserve">Выкупная стоимость, </t>
    </r>
    <r>
      <rPr>
        <sz val="14"/>
        <color rgb="FF000000"/>
        <rFont val="Arial Narrow"/>
        <family val="2"/>
        <charset val="204"/>
      </rPr>
      <t>руб., с учетом НДС</t>
    </r>
  </si>
  <si>
    <r>
      <t xml:space="preserve">Лизинговый платеж, </t>
    </r>
    <r>
      <rPr>
        <sz val="14"/>
        <color rgb="FF000000"/>
        <rFont val="Arial Narrow"/>
        <family val="2"/>
        <charset val="204"/>
      </rPr>
      <t>руб., без НДС</t>
    </r>
  </si>
  <si>
    <r>
      <t>НДС,</t>
    </r>
    <r>
      <rPr>
        <sz val="14"/>
        <color rgb="FF000000"/>
        <rFont val="Arial Narrow"/>
        <family val="2"/>
        <charset val="204"/>
      </rPr>
      <t xml:space="preserve"> руб., с лизингового платежа</t>
    </r>
  </si>
  <si>
    <r>
      <t>Оплата по договору,</t>
    </r>
    <r>
      <rPr>
        <sz val="14"/>
        <color rgb="FF000000"/>
        <rFont val="Arial Narrow"/>
        <family val="2"/>
        <charset val="204"/>
      </rPr>
      <t xml:space="preserve"> руб., без НДС</t>
    </r>
  </si>
  <si>
    <r>
      <t>НДС,</t>
    </r>
    <r>
      <rPr>
        <sz val="14"/>
        <color rgb="FF000000"/>
        <rFont val="Arial Narrow"/>
        <family val="2"/>
        <charset val="204"/>
      </rPr>
      <t xml:space="preserve"> руб.</t>
    </r>
  </si>
  <si>
    <r>
      <t>Ставка НДС,</t>
    </r>
    <r>
      <rPr>
        <sz val="14"/>
        <color rgb="FF000000"/>
        <rFont val="Arial Narrow"/>
        <family val="2"/>
        <charset val="204"/>
      </rPr>
      <t xml:space="preserve"> %</t>
    </r>
  </si>
  <si>
    <t>Расчет начислений по выкупной стоимости и лизинговым платежам по договору №73 от 07.08.2017г.</t>
  </si>
  <si>
    <t>ПОКАЗАТЕЛЬ</t>
  </si>
  <si>
    <t>Величина финансирования, предусмотренная инвестиционной программой за 2018 год</t>
  </si>
  <si>
    <t>Фактический срок лизинга по 2018 году, мес.</t>
  </si>
  <si>
    <t>Расчет начислений по выкупной стоимости и лизинговым платежам за 2018 год
по договору №73 от 07.08.2017г.</t>
  </si>
  <si>
    <t>Начальник Департамента экономики и финансов</t>
  </si>
  <si>
    <t>И.Ю. Скородумов</t>
  </si>
  <si>
    <t>ОС на начало</t>
  </si>
  <si>
    <t>Амортизация</t>
  </si>
  <si>
    <t>Средняя стоимость ОС</t>
  </si>
  <si>
    <t>НИ</t>
  </si>
  <si>
    <t>НОЯБРЬ</t>
  </si>
  <si>
    <t>ДЕКАБРЬ</t>
  </si>
  <si>
    <t>Расчет налога на имущество по УВЭС</t>
  </si>
  <si>
    <t>ОС на конец</t>
  </si>
  <si>
    <t>Кредиторская задолженность на конец периода, руб с НДС</t>
  </si>
  <si>
    <t>в т.ч. долгосрочная, руб с НДС</t>
  </si>
  <si>
    <t>Перечень имущества ООО "Ветротехника"</t>
  </si>
  <si>
    <t>№ п/п</t>
  </si>
  <si>
    <t xml:space="preserve">Полное наименование объекта** </t>
  </si>
  <si>
    <t>Инв. номер**</t>
  </si>
  <si>
    <t>%</t>
  </si>
  <si>
    <t>Стоимость ОС</t>
  </si>
  <si>
    <t>Оплата по договору</t>
  </si>
  <si>
    <t>со  счета 97</t>
  </si>
  <si>
    <t>Стоимость ОС по б/у</t>
  </si>
  <si>
    <t>Стоимость ОС по н/у</t>
  </si>
  <si>
    <t>Ветроэнергетическая установка Enercon Е70</t>
  </si>
  <si>
    <t>00-000003</t>
  </si>
  <si>
    <t>00-000004</t>
  </si>
  <si>
    <t>00-000005</t>
  </si>
  <si>
    <t>Кабель 15 кВ к ВЭУ1</t>
  </si>
  <si>
    <t>00-000006</t>
  </si>
  <si>
    <t>Кабель 15 кВ к ВЭУ2</t>
  </si>
  <si>
    <t>00-000007</t>
  </si>
  <si>
    <t>Кабель 15 кВ к ВЭУ3</t>
  </si>
  <si>
    <t>00-000008</t>
  </si>
  <si>
    <t>Системы связи для передачи корпоративной и технологической информации</t>
  </si>
  <si>
    <t>00-000010</t>
  </si>
  <si>
    <t>Подъездная дорга</t>
  </si>
  <si>
    <t>00-000009</t>
  </si>
  <si>
    <t xml:space="preserve">ИТОГО </t>
  </si>
  <si>
    <t>Период начисл. ЛП</t>
  </si>
  <si>
    <t>Кредиторская задолженность на начало периода</t>
  </si>
  <si>
    <t>Оплата в периоде</t>
  </si>
  <si>
    <t>Кредиторская задолженность на конец периода</t>
  </si>
  <si>
    <t>Всего</t>
  </si>
  <si>
    <t>в т.ч. краткосрочная</t>
  </si>
  <si>
    <t>в т.ч. долгосрочная</t>
  </si>
  <si>
    <t>Начисление обязательств по оплате</t>
  </si>
  <si>
    <t>Авансы, выданные</t>
  </si>
  <si>
    <t>Дата оплаты</t>
  </si>
  <si>
    <t>1 кв. 2019</t>
  </si>
  <si>
    <t>2 кв. 2019</t>
  </si>
  <si>
    <t>3 кв. 2019</t>
  </si>
  <si>
    <t>4 кв. 2019</t>
  </si>
  <si>
    <t>1 кв. 2020</t>
  </si>
  <si>
    <t>2 кв. 2020</t>
  </si>
  <si>
    <t>3 кв. 2020</t>
  </si>
  <si>
    <t>4 кв. 2020</t>
  </si>
  <si>
    <t>1 кв. 2021</t>
  </si>
  <si>
    <t>2 кв. 2021</t>
  </si>
  <si>
    <t>3 кв. 2021</t>
  </si>
  <si>
    <t>4 кв. 2021</t>
  </si>
  <si>
    <t>1 кв. 2022</t>
  </si>
  <si>
    <t>2 кв. 2022</t>
  </si>
  <si>
    <t>3 кв. 2022</t>
  </si>
  <si>
    <t>4 кв. 2022</t>
  </si>
  <si>
    <t>1 кв. 2023</t>
  </si>
  <si>
    <t>2 кв. 2023</t>
  </si>
  <si>
    <t>3 кв. 2023</t>
  </si>
  <si>
    <t>4 кв. 2023</t>
  </si>
  <si>
    <t>1 кв. 2024</t>
  </si>
  <si>
    <t>2 кв. 2024</t>
  </si>
  <si>
    <t>3 кв. 2024</t>
  </si>
  <si>
    <t>4 кв. 2024</t>
  </si>
  <si>
    <t>1 кв. 2025</t>
  </si>
  <si>
    <t>2 кв. 2025</t>
  </si>
  <si>
    <t>3 кв. 2025</t>
  </si>
  <si>
    <t>4 кв. 2025</t>
  </si>
  <si>
    <t>1 кв. 2026</t>
  </si>
  <si>
    <t>2 кв. 2026</t>
  </si>
  <si>
    <t>3 кв. 2026</t>
  </si>
  <si>
    <t>4 кв. 2026</t>
  </si>
  <si>
    <t>1 кв. 2027</t>
  </si>
  <si>
    <t>2 кв. 2027</t>
  </si>
  <si>
    <t>3 кв. 2027</t>
  </si>
  <si>
    <t>4 кв. 2027</t>
  </si>
  <si>
    <t>1 кв. 2028</t>
  </si>
  <si>
    <t>2 кв. 2028</t>
  </si>
  <si>
    <t>3 кв. 2028</t>
  </si>
  <si>
    <t>4 кв. 2028</t>
  </si>
  <si>
    <t>1 кв. 2029</t>
  </si>
  <si>
    <t>2 кв. 2029</t>
  </si>
  <si>
    <t>3 кв. 2029</t>
  </si>
  <si>
    <t>4 кв. 2029</t>
  </si>
  <si>
    <t>1 кв. 2030</t>
  </si>
  <si>
    <t>2 кв. 2030</t>
  </si>
  <si>
    <t>3 кв. 2030</t>
  </si>
  <si>
    <t>4 кв. 2030</t>
  </si>
  <si>
    <t>1 кв. 2031</t>
  </si>
  <si>
    <t>2 кв. 2031</t>
  </si>
  <si>
    <t>3 кв. 2031</t>
  </si>
  <si>
    <t>4 кв. 2031</t>
  </si>
  <si>
    <t>1 кв. 2032</t>
  </si>
  <si>
    <t>2 кв. 2032</t>
  </si>
  <si>
    <t>3 кв. 2032</t>
  </si>
  <si>
    <t>4 кв. 2032</t>
  </si>
  <si>
    <t>Период начисления</t>
  </si>
  <si>
    <t>Срок оплаты</t>
  </si>
  <si>
    <t>Сумма, с учетом НДС</t>
  </si>
  <si>
    <t>4 кв. 2018</t>
  </si>
  <si>
    <t>График платежей по договору лизинга</t>
  </si>
  <si>
    <t>Приложение № 4 к письму от ____________2019 №____</t>
  </si>
  <si>
    <r>
      <t>Оплата по договору,</t>
    </r>
    <r>
      <rPr>
        <sz val="14"/>
        <rFont val="Times New Roman"/>
        <family val="1"/>
        <charset val="204"/>
      </rPr>
      <t xml:space="preserve"> руб., без НДС</t>
    </r>
  </si>
  <si>
    <r>
      <t>Ставка НДС,</t>
    </r>
    <r>
      <rPr>
        <sz val="14"/>
        <rFont val="Times New Roman"/>
        <family val="1"/>
        <charset val="204"/>
      </rPr>
      <t xml:space="preserve"> %</t>
    </r>
  </si>
  <si>
    <r>
      <t>НДС,</t>
    </r>
    <r>
      <rPr>
        <sz val="14"/>
        <rFont val="Times New Roman"/>
        <family val="1"/>
        <charset val="204"/>
      </rPr>
      <t xml:space="preserve"> руб., с выкупной стоимости</t>
    </r>
  </si>
  <si>
    <r>
      <t xml:space="preserve">Оплата по договору, </t>
    </r>
    <r>
      <rPr>
        <sz val="14"/>
        <rFont val="Times New Roman"/>
        <family val="1"/>
        <charset val="204"/>
      </rPr>
      <t>руб., с учетом НДС</t>
    </r>
  </si>
  <si>
    <t>Расчет оплаты по договору № 73 от 07.08.2017г.</t>
  </si>
  <si>
    <t>Расчеты в части выкупной стоимости по договору № 73 от 07.08.2017г.</t>
  </si>
  <si>
    <r>
      <t>Выкупная стоимость,</t>
    </r>
    <r>
      <rPr>
        <sz val="14"/>
        <color rgb="FF000000"/>
        <rFont val="Times New Roman"/>
        <family val="1"/>
        <charset val="204"/>
      </rPr>
      <t xml:space="preserve"> руб., без НДС</t>
    </r>
  </si>
  <si>
    <r>
      <t>Ставка НДС,</t>
    </r>
    <r>
      <rPr>
        <sz val="14"/>
        <color rgb="FF000000"/>
        <rFont val="Times New Roman"/>
        <family val="1"/>
        <charset val="204"/>
      </rPr>
      <t xml:space="preserve"> %</t>
    </r>
  </si>
  <si>
    <r>
      <t>НДС,</t>
    </r>
    <r>
      <rPr>
        <sz val="14"/>
        <color rgb="FF000000"/>
        <rFont val="Times New Roman"/>
        <family val="1"/>
        <charset val="204"/>
      </rPr>
      <t xml:space="preserve"> руб., с выкупной стоимости</t>
    </r>
  </si>
  <si>
    <r>
      <t xml:space="preserve">Выкупная стоимость, </t>
    </r>
    <r>
      <rPr>
        <sz val="14"/>
        <color rgb="FF000000"/>
        <rFont val="Times New Roman"/>
        <family val="1"/>
        <charset val="204"/>
      </rPr>
      <t>руб., с учетом НДС</t>
    </r>
  </si>
  <si>
    <t>Приложение № 4.1 к письму от ____________2019 №____</t>
  </si>
  <si>
    <r>
      <t>Лизинговый платеж,</t>
    </r>
    <r>
      <rPr>
        <sz val="14"/>
        <rFont val="Times New Roman"/>
        <family val="1"/>
        <charset val="204"/>
      </rPr>
      <t xml:space="preserve"> руб., без НДС</t>
    </r>
  </si>
  <si>
    <r>
      <t xml:space="preserve">Лизинговый платеж, </t>
    </r>
    <r>
      <rPr>
        <sz val="14"/>
        <rFont val="Times New Roman"/>
        <family val="1"/>
        <charset val="204"/>
      </rPr>
      <t>руб., с учетом НДС</t>
    </r>
  </si>
  <si>
    <t>Расчет в части лизинговых платежей по договору № 73 от 07.08.2017г.</t>
  </si>
  <si>
    <t>Приложение № 4.2 к письму от ____________2019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</si>
</sst>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#,##0.000"/>
    <numFmt numFmtId="166" formatCode="#,##0.00000"/>
    <numFmt numFmtId="167" formatCode="#,##0.00000000000"/>
    <numFmt numFmtId="168" formatCode="[$-FC19]dd\ mmmm\ yyyy\ \г\.;@"/>
  </numFmts>
  <fonts count="24" x14ac:knownFonts="1">
    <font>
      <sz val="14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Arial Narrow"/>
      <family val="2"/>
      <charset val="204"/>
    </font>
    <font>
      <b/>
      <sz val="14"/>
      <color rgb="FF000000"/>
      <name val="Arial Narrow"/>
      <family val="2"/>
      <charset val="204"/>
    </font>
    <font>
      <sz val="14"/>
      <color rgb="FF000000"/>
      <name val="Arial Narrow"/>
      <family val="2"/>
      <charset val="204"/>
    </font>
    <font>
      <sz val="18"/>
      <color theme="1"/>
      <name val="Arial Narrow"/>
      <family val="2"/>
      <charset val="204"/>
    </font>
    <font>
      <b/>
      <sz val="20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Narrow"/>
      <family val="2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Arial Narrow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48A54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A9694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164" fontId="12" fillId="0" borderId="0" applyFont="0" applyFill="0" applyBorder="0" applyAlignment="0" applyProtection="0"/>
  </cellStyleXfs>
  <cellXfs count="358">
    <xf numFmtId="0" fontId="0" fillId="0" borderId="0" xfId="0"/>
    <xf numFmtId="0" fontId="2" fillId="0" borderId="1" xfId="0" applyFont="1" applyBorder="1" applyAlignment="1">
      <alignment horizontal="center" vertical="center"/>
    </xf>
    <xf numFmtId="17" fontId="3" fillId="2" borderId="3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7" fontId="3" fillId="3" borderId="3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17" fontId="3" fillId="4" borderId="3" xfId="0" applyNumberFormat="1" applyFont="1" applyFill="1" applyBorder="1" applyAlignment="1">
      <alignment horizontal="right" vertical="center"/>
    </xf>
    <xf numFmtId="17" fontId="3" fillId="5" borderId="3" xfId="0" applyNumberFormat="1" applyFont="1" applyFill="1" applyBorder="1" applyAlignment="1">
      <alignment horizontal="right" vertical="center"/>
    </xf>
    <xf numFmtId="17" fontId="3" fillId="6" borderId="3" xfId="0" applyNumberFormat="1" applyFont="1" applyFill="1" applyBorder="1" applyAlignment="1">
      <alignment horizontal="right" vertical="center"/>
    </xf>
    <xf numFmtId="17" fontId="3" fillId="7" borderId="3" xfId="0" applyNumberFormat="1" applyFont="1" applyFill="1" applyBorder="1" applyAlignment="1">
      <alignment horizontal="right" vertical="center"/>
    </xf>
    <xf numFmtId="17" fontId="3" fillId="8" borderId="3" xfId="0" applyNumberFormat="1" applyFont="1" applyFill="1" applyBorder="1" applyAlignment="1">
      <alignment horizontal="right" vertical="center"/>
    </xf>
    <xf numFmtId="17" fontId="3" fillId="9" borderId="3" xfId="0" applyNumberFormat="1" applyFont="1" applyFill="1" applyBorder="1" applyAlignment="1">
      <alignment horizontal="right" vertical="center"/>
    </xf>
    <xf numFmtId="17" fontId="3" fillId="10" borderId="3" xfId="0" applyNumberFormat="1" applyFont="1" applyFill="1" applyBorder="1" applyAlignment="1">
      <alignment horizontal="right" vertical="center"/>
    </xf>
    <xf numFmtId="17" fontId="3" fillId="11" borderId="3" xfId="0" applyNumberFormat="1" applyFont="1" applyFill="1" applyBorder="1" applyAlignment="1">
      <alignment horizontal="right" vertical="center"/>
    </xf>
    <xf numFmtId="17" fontId="3" fillId="12" borderId="3" xfId="0" applyNumberFormat="1" applyFont="1" applyFill="1" applyBorder="1" applyAlignment="1">
      <alignment horizontal="right" vertical="center"/>
    </xf>
    <xf numFmtId="17" fontId="3" fillId="13" borderId="3" xfId="0" applyNumberFormat="1" applyFont="1" applyFill="1" applyBorder="1" applyAlignment="1">
      <alignment horizontal="right" vertical="center"/>
    </xf>
    <xf numFmtId="0" fontId="2" fillId="14" borderId="3" xfId="0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3" fillId="3" borderId="4" xfId="0" applyNumberFormat="1" applyFont="1" applyFill="1" applyBorder="1" applyAlignment="1">
      <alignment horizontal="right" vertical="center"/>
    </xf>
    <xf numFmtId="4" fontId="3" fillId="4" borderId="4" xfId="0" applyNumberFormat="1" applyFont="1" applyFill="1" applyBorder="1" applyAlignment="1">
      <alignment horizontal="right" vertical="center"/>
    </xf>
    <xf numFmtId="4" fontId="3" fillId="5" borderId="4" xfId="0" applyNumberFormat="1" applyFont="1" applyFill="1" applyBorder="1" applyAlignment="1">
      <alignment horizontal="right" vertical="center"/>
    </xf>
    <xf numFmtId="4" fontId="3" fillId="6" borderId="4" xfId="0" applyNumberFormat="1" applyFont="1" applyFill="1" applyBorder="1" applyAlignment="1">
      <alignment horizontal="right" vertical="center"/>
    </xf>
    <xf numFmtId="4" fontId="3" fillId="7" borderId="4" xfId="0" applyNumberFormat="1" applyFont="1" applyFill="1" applyBorder="1" applyAlignment="1">
      <alignment horizontal="right" vertical="center"/>
    </xf>
    <xf numFmtId="4" fontId="3" fillId="8" borderId="4" xfId="0" applyNumberFormat="1" applyFont="1" applyFill="1" applyBorder="1" applyAlignment="1">
      <alignment horizontal="right" vertical="center"/>
    </xf>
    <xf numFmtId="4" fontId="3" fillId="9" borderId="4" xfId="0" applyNumberFormat="1" applyFont="1" applyFill="1" applyBorder="1" applyAlignment="1">
      <alignment horizontal="right" vertical="center"/>
    </xf>
    <xf numFmtId="4" fontId="3" fillId="10" borderId="4" xfId="0" applyNumberFormat="1" applyFont="1" applyFill="1" applyBorder="1" applyAlignment="1">
      <alignment horizontal="right" vertical="center"/>
    </xf>
    <xf numFmtId="4" fontId="3" fillId="11" borderId="4" xfId="0" applyNumberFormat="1" applyFont="1" applyFill="1" applyBorder="1" applyAlignment="1">
      <alignment horizontal="right" vertical="center"/>
    </xf>
    <xf numFmtId="4" fontId="3" fillId="12" borderId="4" xfId="0" applyNumberFormat="1" applyFont="1" applyFill="1" applyBorder="1" applyAlignment="1">
      <alignment horizontal="right" vertical="center"/>
    </xf>
    <xf numFmtId="4" fontId="3" fillId="13" borderId="4" xfId="0" applyNumberFormat="1" applyFont="1" applyFill="1" applyBorder="1" applyAlignment="1">
      <alignment horizontal="right" vertical="center"/>
    </xf>
    <xf numFmtId="4" fontId="2" fillId="14" borderId="4" xfId="0" applyNumberFormat="1" applyFont="1" applyFill="1" applyBorder="1" applyAlignment="1">
      <alignment horizontal="right" vertical="center"/>
    </xf>
    <xf numFmtId="4" fontId="0" fillId="0" borderId="0" xfId="0" applyNumberFormat="1"/>
    <xf numFmtId="3" fontId="2" fillId="0" borderId="2" xfId="0" applyNumberFormat="1" applyFont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4" borderId="4" xfId="0" applyNumberFormat="1" applyFont="1" applyFill="1" applyBorder="1" applyAlignment="1">
      <alignment horizontal="right" vertical="center"/>
    </xf>
    <xf numFmtId="3" fontId="3" fillId="5" borderId="4" xfId="0" applyNumberFormat="1" applyFont="1" applyFill="1" applyBorder="1" applyAlignment="1">
      <alignment horizontal="right" vertical="center"/>
    </xf>
    <xf numFmtId="3" fontId="3" fillId="6" borderId="4" xfId="0" applyNumberFormat="1" applyFont="1" applyFill="1" applyBorder="1" applyAlignment="1">
      <alignment horizontal="right" vertical="center"/>
    </xf>
    <xf numFmtId="3" fontId="3" fillId="7" borderId="4" xfId="0" applyNumberFormat="1" applyFont="1" applyFill="1" applyBorder="1" applyAlignment="1">
      <alignment horizontal="right" vertical="center"/>
    </xf>
    <xf numFmtId="3" fontId="3" fillId="8" borderId="4" xfId="0" applyNumberFormat="1" applyFont="1" applyFill="1" applyBorder="1" applyAlignment="1">
      <alignment horizontal="right" vertical="center"/>
    </xf>
    <xf numFmtId="3" fontId="3" fillId="9" borderId="4" xfId="0" applyNumberFormat="1" applyFont="1" applyFill="1" applyBorder="1" applyAlignment="1">
      <alignment horizontal="right" vertical="center"/>
    </xf>
    <xf numFmtId="3" fontId="3" fillId="10" borderId="4" xfId="0" applyNumberFormat="1" applyFont="1" applyFill="1" applyBorder="1" applyAlignment="1">
      <alignment horizontal="right" vertical="center"/>
    </xf>
    <xf numFmtId="3" fontId="3" fillId="11" borderId="4" xfId="0" applyNumberFormat="1" applyFont="1" applyFill="1" applyBorder="1" applyAlignment="1">
      <alignment horizontal="right" vertical="center"/>
    </xf>
    <xf numFmtId="3" fontId="3" fillId="12" borderId="4" xfId="0" applyNumberFormat="1" applyFont="1" applyFill="1" applyBorder="1" applyAlignment="1">
      <alignment horizontal="right" vertical="center"/>
    </xf>
    <xf numFmtId="3" fontId="3" fillId="13" borderId="4" xfId="0" applyNumberFormat="1" applyFont="1" applyFill="1" applyBorder="1" applyAlignment="1">
      <alignment horizontal="right" vertical="center"/>
    </xf>
    <xf numFmtId="3" fontId="2" fillId="14" borderId="4" xfId="0" applyNumberFormat="1" applyFont="1" applyFill="1" applyBorder="1" applyAlignment="1">
      <alignment vertical="center"/>
    </xf>
    <xf numFmtId="3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9" fontId="0" fillId="0" borderId="0" xfId="0" applyNumberFormat="1" applyAlignment="1">
      <alignment vertical="center" wrapText="1"/>
    </xf>
    <xf numFmtId="4" fontId="0" fillId="0" borderId="5" xfId="0" applyNumberFormat="1" applyBorder="1" applyAlignment="1">
      <alignment vertical="center" wrapText="1"/>
    </xf>
    <xf numFmtId="9" fontId="0" fillId="0" borderId="5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9" fontId="0" fillId="0" borderId="8" xfId="0" applyNumberFormat="1" applyBorder="1" applyAlignment="1">
      <alignment vertical="center" wrapText="1"/>
    </xf>
    <xf numFmtId="4" fontId="0" fillId="0" borderId="9" xfId="0" applyNumberFormat="1" applyBorder="1" applyAlignment="1">
      <alignment vertical="center" wrapText="1"/>
    </xf>
    <xf numFmtId="9" fontId="0" fillId="0" borderId="9" xfId="0" applyNumberFormat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9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0" fillId="0" borderId="16" xfId="0" applyNumberFormat="1" applyBorder="1" applyAlignment="1">
      <alignment vertical="center" wrapText="1"/>
    </xf>
    <xf numFmtId="4" fontId="0" fillId="0" borderId="17" xfId="0" applyNumberFormat="1" applyBorder="1" applyAlignment="1">
      <alignment vertical="center" wrapText="1"/>
    </xf>
    <xf numFmtId="4" fontId="0" fillId="0" borderId="16" xfId="0" applyNumberFormat="1" applyBorder="1" applyAlignment="1">
      <alignment horizontal="center" vertical="center" wrapText="1"/>
    </xf>
    <xf numFmtId="9" fontId="0" fillId="0" borderId="16" xfId="0" applyNumberFormat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vertical="center" wrapText="1"/>
    </xf>
    <xf numFmtId="4" fontId="0" fillId="0" borderId="20" xfId="0" applyNumberFormat="1" applyBorder="1" applyAlignment="1">
      <alignment vertical="center" wrapText="1"/>
    </xf>
    <xf numFmtId="4" fontId="0" fillId="0" borderId="22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3" xfId="0" applyNumberFormat="1" applyBorder="1" applyAlignment="1">
      <alignment vertical="center" wrapText="1"/>
    </xf>
    <xf numFmtId="4" fontId="0" fillId="0" borderId="24" xfId="0" applyNumberFormat="1" applyBorder="1" applyAlignment="1">
      <alignment vertical="center" wrapText="1"/>
    </xf>
    <xf numFmtId="4" fontId="0" fillId="0" borderId="22" xfId="0" applyNumberForma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9" fontId="4" fillId="0" borderId="5" xfId="0" applyNumberFormat="1" applyFont="1" applyBorder="1" applyAlignment="1">
      <alignment vertical="center" wrapText="1"/>
    </xf>
    <xf numFmtId="4" fontId="4" fillId="0" borderId="15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26" xfId="0" applyFont="1" applyBorder="1" applyAlignment="1">
      <alignment vertical="center" wrapText="1"/>
    </xf>
    <xf numFmtId="4" fontId="4" fillId="0" borderId="22" xfId="0" applyNumberFormat="1" applyFont="1" applyBorder="1" applyAlignment="1">
      <alignment vertical="center" wrapText="1"/>
    </xf>
    <xf numFmtId="4" fontId="4" fillId="0" borderId="16" xfId="0" applyNumberFormat="1" applyFont="1" applyBorder="1" applyAlignment="1">
      <alignment vertical="center" wrapText="1"/>
    </xf>
    <xf numFmtId="9" fontId="4" fillId="0" borderId="16" xfId="0" applyNumberFormat="1" applyFont="1" applyBorder="1" applyAlignment="1">
      <alignment vertical="center" wrapText="1"/>
    </xf>
    <xf numFmtId="4" fontId="4" fillId="0" borderId="17" xfId="0" applyNumberFormat="1" applyFont="1" applyBorder="1" applyAlignment="1">
      <alignment vertical="center" wrapText="1"/>
    </xf>
    <xf numFmtId="4" fontId="6" fillId="0" borderId="5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6" fillId="0" borderId="15" xfId="0" applyNumberFormat="1" applyFont="1" applyBorder="1" applyAlignment="1">
      <alignment horizontal="right" vertical="center"/>
    </xf>
    <xf numFmtId="4" fontId="5" fillId="0" borderId="31" xfId="0" applyNumberFormat="1" applyFont="1" applyBorder="1" applyAlignment="1">
      <alignment horizontal="center" vertical="center" wrapText="1"/>
    </xf>
    <xf numFmtId="3" fontId="5" fillId="0" borderId="31" xfId="0" applyNumberFormat="1" applyFont="1" applyBorder="1" applyAlignment="1">
      <alignment horizontal="center" vertical="center" wrapText="1"/>
    </xf>
    <xf numFmtId="4" fontId="5" fillId="0" borderId="32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/>
    </xf>
    <xf numFmtId="4" fontId="6" fillId="0" borderId="20" xfId="0" applyNumberFormat="1" applyFont="1" applyBorder="1" applyAlignment="1">
      <alignment horizontal="right" vertical="center"/>
    </xf>
    <xf numFmtId="4" fontId="5" fillId="0" borderId="31" xfId="0" applyNumberFormat="1" applyFont="1" applyBorder="1" applyAlignment="1">
      <alignment horizontal="right" vertical="center"/>
    </xf>
    <xf numFmtId="4" fontId="5" fillId="0" borderId="32" xfId="0" applyNumberFormat="1" applyFont="1" applyBorder="1" applyAlignment="1">
      <alignment horizontal="right" vertical="center"/>
    </xf>
    <xf numFmtId="0" fontId="5" fillId="0" borderId="33" xfId="0" applyFont="1" applyBorder="1" applyAlignment="1">
      <alignment horizontal="center" vertical="center"/>
    </xf>
    <xf numFmtId="4" fontId="5" fillId="0" borderId="37" xfId="0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right" vertical="center"/>
    </xf>
    <xf numFmtId="4" fontId="6" fillId="0" borderId="24" xfId="0" applyNumberFormat="1" applyFont="1" applyBorder="1" applyAlignment="1">
      <alignment horizontal="right" vertical="center"/>
    </xf>
    <xf numFmtId="4" fontId="5" fillId="0" borderId="37" xfId="0" applyNumberFormat="1" applyFont="1" applyBorder="1" applyAlignment="1">
      <alignment horizontal="right" vertical="center"/>
    </xf>
    <xf numFmtId="4" fontId="6" fillId="0" borderId="7" xfId="0" applyNumberFormat="1" applyFont="1" applyBorder="1" applyAlignment="1">
      <alignment horizontal="right" vertical="center"/>
    </xf>
    <xf numFmtId="4" fontId="5" fillId="0" borderId="30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right" vertical="center"/>
    </xf>
    <xf numFmtId="4" fontId="6" fillId="0" borderId="19" xfId="0" applyNumberFormat="1" applyFont="1" applyBorder="1" applyAlignment="1">
      <alignment horizontal="right" vertical="center"/>
    </xf>
    <xf numFmtId="4" fontId="5" fillId="0" borderId="30" xfId="0" applyNumberFormat="1" applyFont="1" applyBorder="1" applyAlignment="1">
      <alignment horizontal="right" vertical="center"/>
    </xf>
    <xf numFmtId="4" fontId="6" fillId="0" borderId="13" xfId="0" applyNumberFormat="1" applyFont="1" applyBorder="1" applyAlignment="1">
      <alignment horizontal="right" vertical="center"/>
    </xf>
    <xf numFmtId="0" fontId="1" fillId="0" borderId="0" xfId="0" applyFont="1"/>
    <xf numFmtId="0" fontId="7" fillId="0" borderId="0" xfId="0" applyFont="1"/>
    <xf numFmtId="0" fontId="7" fillId="0" borderId="0" xfId="0" applyFont="1" applyAlignment="1">
      <alignment horizontal="centerContinuous"/>
    </xf>
    <xf numFmtId="4" fontId="7" fillId="0" borderId="0" xfId="0" applyNumberFormat="1" applyFont="1" applyAlignment="1">
      <alignment horizontal="centerContinuous"/>
    </xf>
    <xf numFmtId="3" fontId="7" fillId="0" borderId="0" xfId="0" applyNumberFormat="1" applyFont="1" applyAlignment="1">
      <alignment horizontal="centerContinuous"/>
    </xf>
    <xf numFmtId="0" fontId="1" fillId="0" borderId="0" xfId="0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8" fillId="0" borderId="0" xfId="0" applyFont="1" applyAlignment="1">
      <alignment vertical="center"/>
    </xf>
    <xf numFmtId="0" fontId="1" fillId="0" borderId="33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43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42" xfId="0" applyBorder="1" applyAlignment="1">
      <alignment vertical="center"/>
    </xf>
    <xf numFmtId="4" fontId="0" fillId="0" borderId="28" xfId="0" applyNumberFormat="1" applyBorder="1" applyAlignment="1">
      <alignment vertical="center"/>
    </xf>
    <xf numFmtId="4" fontId="0" fillId="0" borderId="4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36" xfId="0" applyBorder="1" applyAlignment="1">
      <alignment vertical="center"/>
    </xf>
    <xf numFmtId="4" fontId="0" fillId="0" borderId="27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35" xfId="0" applyBorder="1" applyAlignment="1">
      <alignment vertical="center"/>
    </xf>
    <xf numFmtId="4" fontId="0" fillId="0" borderId="29" xfId="0" applyNumberFormat="1" applyBorder="1" applyAlignment="1">
      <alignment vertical="center"/>
    </xf>
    <xf numFmtId="4" fontId="0" fillId="0" borderId="38" xfId="0" applyNumberForma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4" fontId="1" fillId="0" borderId="43" xfId="0" applyNumberFormat="1" applyFont="1" applyBorder="1" applyAlignment="1">
      <alignment vertical="center"/>
    </xf>
    <xf numFmtId="17" fontId="6" fillId="0" borderId="34" xfId="0" applyNumberFormat="1" applyFont="1" applyBorder="1" applyAlignment="1">
      <alignment horizontal="center" vertical="center"/>
    </xf>
    <xf numFmtId="17" fontId="6" fillId="0" borderId="35" xfId="0" applyNumberFormat="1" applyFont="1" applyBorder="1" applyAlignment="1">
      <alignment horizontal="center" vertical="center"/>
    </xf>
    <xf numFmtId="17" fontId="6" fillId="0" borderId="36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9" fillId="0" borderId="0" xfId="1" applyFont="1" applyAlignment="1">
      <alignment wrapText="1"/>
    </xf>
    <xf numFmtId="0" fontId="1" fillId="0" borderId="33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3" xfId="1" applyFont="1" applyBorder="1" applyAlignment="1">
      <alignment horizontal="center" vertical="center" wrapText="1"/>
    </xf>
    <xf numFmtId="4" fontId="1" fillId="0" borderId="33" xfId="1" applyNumberFormat="1" applyFont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center" vertical="center" wrapText="1"/>
    </xf>
    <xf numFmtId="0" fontId="1" fillId="0" borderId="0" xfId="1" applyFont="1" applyAlignment="1">
      <alignment wrapText="1"/>
    </xf>
    <xf numFmtId="0" fontId="1" fillId="0" borderId="1" xfId="1" applyFont="1" applyBorder="1" applyAlignment="1">
      <alignment horizont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wrapText="1"/>
    </xf>
    <xf numFmtId="0" fontId="9" fillId="0" borderId="34" xfId="1" applyFont="1" applyBorder="1" applyAlignment="1">
      <alignment horizontal="center" vertical="center" wrapText="1"/>
    </xf>
    <xf numFmtId="0" fontId="11" fillId="0" borderId="25" xfId="1" applyFont="1" applyBorder="1" applyAlignment="1">
      <alignment horizontal="left" vertical="center" wrapText="1"/>
    </xf>
    <xf numFmtId="1" fontId="11" fillId="0" borderId="44" xfId="1" applyNumberFormat="1" applyFont="1" applyBorder="1" applyAlignment="1">
      <alignment horizontal="center" vertical="center" wrapText="1"/>
    </xf>
    <xf numFmtId="164" fontId="9" fillId="0" borderId="34" xfId="2" applyFont="1" applyBorder="1" applyAlignment="1">
      <alignment horizontal="center" vertical="center" wrapText="1"/>
    </xf>
    <xf numFmtId="167" fontId="9" fillId="0" borderId="34" xfId="1" applyNumberFormat="1" applyFont="1" applyBorder="1" applyAlignment="1">
      <alignment horizontal="center" vertical="center" wrapText="1"/>
    </xf>
    <xf numFmtId="4" fontId="9" fillId="0" borderId="25" xfId="1" applyNumberFormat="1" applyFont="1" applyBorder="1" applyAlignment="1">
      <alignment horizontal="center" vertical="center" wrapText="1"/>
    </xf>
    <xf numFmtId="4" fontId="9" fillId="0" borderId="0" xfId="1" applyNumberFormat="1" applyFont="1" applyAlignment="1">
      <alignment horizontal="center" vertical="center" wrapText="1"/>
    </xf>
    <xf numFmtId="4" fontId="9" fillId="0" borderId="28" xfId="1" applyNumberFormat="1" applyFont="1" applyBorder="1" applyAlignment="1">
      <alignment wrapText="1"/>
    </xf>
    <xf numFmtId="4" fontId="9" fillId="0" borderId="23" xfId="1" applyNumberFormat="1" applyFont="1" applyBorder="1" applyAlignment="1">
      <alignment wrapText="1"/>
    </xf>
    <xf numFmtId="4" fontId="9" fillId="0" borderId="9" xfId="1" applyNumberFormat="1" applyFont="1" applyBorder="1" applyAlignment="1">
      <alignment wrapText="1"/>
    </xf>
    <xf numFmtId="4" fontId="9" fillId="0" borderId="45" xfId="1" applyNumberFormat="1" applyFont="1" applyBorder="1" applyAlignment="1">
      <alignment wrapText="1"/>
    </xf>
    <xf numFmtId="4" fontId="1" fillId="0" borderId="5" xfId="1" applyNumberFormat="1" applyFont="1" applyBorder="1" applyAlignment="1">
      <alignment wrapText="1"/>
    </xf>
    <xf numFmtId="4" fontId="1" fillId="0" borderId="41" xfId="1" applyNumberFormat="1" applyFont="1" applyBorder="1" applyAlignment="1">
      <alignment wrapText="1"/>
    </xf>
    <xf numFmtId="166" fontId="9" fillId="0" borderId="34" xfId="1" applyNumberFormat="1" applyFont="1" applyBorder="1" applyAlignment="1">
      <alignment horizontal="center" vertical="center" wrapText="1"/>
    </xf>
    <xf numFmtId="164" fontId="9" fillId="0" borderId="0" xfId="2" applyFont="1" applyAlignment="1">
      <alignment wrapText="1"/>
    </xf>
    <xf numFmtId="0" fontId="9" fillId="0" borderId="36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left" vertical="center" wrapText="1"/>
    </xf>
    <xf numFmtId="1" fontId="11" fillId="0" borderId="6" xfId="1" applyNumberFormat="1" applyFont="1" applyBorder="1" applyAlignment="1">
      <alignment horizontal="center" vertical="center" wrapText="1"/>
    </xf>
    <xf numFmtId="164" fontId="9" fillId="0" borderId="36" xfId="2" applyFont="1" applyBorder="1" applyAlignment="1">
      <alignment horizontal="center" vertical="center" wrapText="1"/>
    </xf>
    <xf numFmtId="167" fontId="9" fillId="0" borderId="36" xfId="1" applyNumberFormat="1" applyFont="1" applyBorder="1" applyAlignment="1">
      <alignment horizontal="center" vertical="center" wrapText="1"/>
    </xf>
    <xf numFmtId="4" fontId="9" fillId="0" borderId="27" xfId="1" applyNumberFormat="1" applyFont="1" applyBorder="1" applyAlignment="1">
      <alignment horizontal="center" vertical="center" wrapText="1"/>
    </xf>
    <xf numFmtId="4" fontId="9" fillId="0" borderId="7" xfId="1" applyNumberFormat="1" applyFont="1" applyBorder="1" applyAlignment="1">
      <alignment wrapText="1"/>
    </xf>
    <xf numFmtId="4" fontId="9" fillId="0" borderId="5" xfId="1" applyNumberFormat="1" applyFont="1" applyBorder="1" applyAlignment="1">
      <alignment wrapText="1"/>
    </xf>
    <xf numFmtId="4" fontId="9" fillId="0" borderId="46" xfId="1" applyNumberFormat="1" applyFont="1" applyBorder="1" applyAlignment="1">
      <alignment wrapText="1"/>
    </xf>
    <xf numFmtId="166" fontId="9" fillId="0" borderId="36" xfId="1" applyNumberFormat="1" applyFont="1" applyBorder="1" applyAlignment="1">
      <alignment horizontal="center" vertical="center" wrapText="1"/>
    </xf>
    <xf numFmtId="4" fontId="9" fillId="0" borderId="0" xfId="1" applyNumberFormat="1" applyFont="1" applyAlignment="1">
      <alignment wrapText="1"/>
    </xf>
    <xf numFmtId="167" fontId="11" fillId="0" borderId="36" xfId="1" applyNumberFormat="1" applyFont="1" applyBorder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166" fontId="11" fillId="0" borderId="36" xfId="1" applyNumberFormat="1" applyFont="1" applyBorder="1" applyAlignment="1">
      <alignment horizontal="center" vertical="center" wrapText="1"/>
    </xf>
    <xf numFmtId="0" fontId="9" fillId="0" borderId="47" xfId="1" applyFont="1" applyBorder="1" applyAlignment="1">
      <alignment horizontal="center" vertical="center" wrapText="1"/>
    </xf>
    <xf numFmtId="0" fontId="11" fillId="0" borderId="26" xfId="1" applyFont="1" applyBorder="1" applyAlignment="1">
      <alignment horizontal="left" vertical="center" wrapText="1"/>
    </xf>
    <xf numFmtId="1" fontId="11" fillId="0" borderId="48" xfId="1" applyNumberFormat="1" applyFont="1" applyBorder="1" applyAlignment="1">
      <alignment horizontal="center" vertical="center" wrapText="1"/>
    </xf>
    <xf numFmtId="164" fontId="9" fillId="0" borderId="47" xfId="2" applyFont="1" applyBorder="1" applyAlignment="1">
      <alignment horizontal="center" vertical="center" wrapText="1"/>
    </xf>
    <xf numFmtId="167" fontId="9" fillId="0" borderId="47" xfId="1" applyNumberFormat="1" applyFont="1" applyBorder="1" applyAlignment="1">
      <alignment horizontal="center" vertical="center" wrapText="1"/>
    </xf>
    <xf numFmtId="4" fontId="9" fillId="0" borderId="26" xfId="1" applyNumberFormat="1" applyFont="1" applyBorder="1" applyAlignment="1">
      <alignment horizontal="center" vertical="center" wrapText="1"/>
    </xf>
    <xf numFmtId="4" fontId="9" fillId="0" borderId="24" xfId="1" applyNumberFormat="1" applyFont="1" applyBorder="1" applyAlignment="1">
      <alignment wrapText="1"/>
    </xf>
    <xf numFmtId="4" fontId="9" fillId="0" borderId="8" xfId="1" applyNumberFormat="1" applyFont="1" applyBorder="1" applyAlignment="1">
      <alignment wrapText="1"/>
    </xf>
    <xf numFmtId="4" fontId="9" fillId="0" borderId="49" xfId="1" applyNumberFormat="1" applyFont="1" applyBorder="1" applyAlignment="1">
      <alignment wrapText="1"/>
    </xf>
    <xf numFmtId="166" fontId="9" fillId="0" borderId="47" xfId="1" applyNumberFormat="1" applyFont="1" applyBorder="1" applyAlignment="1">
      <alignment horizontal="center" vertical="center" wrapText="1"/>
    </xf>
    <xf numFmtId="164" fontId="1" fillId="0" borderId="43" xfId="2" applyFont="1" applyBorder="1" applyAlignment="1">
      <alignment horizontal="right" vertical="center" wrapText="1"/>
    </xf>
    <xf numFmtId="164" fontId="1" fillId="0" borderId="1" xfId="2" applyFont="1" applyBorder="1" applyAlignment="1">
      <alignment horizontal="right" vertical="center" wrapText="1"/>
    </xf>
    <xf numFmtId="4" fontId="1" fillId="0" borderId="3" xfId="1" applyNumberFormat="1" applyFont="1" applyBorder="1" applyAlignment="1">
      <alignment wrapText="1"/>
    </xf>
    <xf numFmtId="4" fontId="1" fillId="0" borderId="50" xfId="1" applyNumberFormat="1" applyFont="1" applyBorder="1" applyAlignment="1">
      <alignment wrapText="1"/>
    </xf>
    <xf numFmtId="4" fontId="1" fillId="0" borderId="30" xfId="1" applyNumberFormat="1" applyFont="1" applyBorder="1" applyAlignment="1">
      <alignment wrapText="1"/>
    </xf>
    <xf numFmtId="4" fontId="1" fillId="0" borderId="31" xfId="1" applyNumberFormat="1" applyFont="1" applyBorder="1" applyAlignment="1">
      <alignment wrapText="1"/>
    </xf>
    <xf numFmtId="0" fontId="13" fillId="0" borderId="0" xfId="1" applyFont="1" applyAlignment="1">
      <alignment horizontal="center" wrapText="1"/>
    </xf>
    <xf numFmtId="4" fontId="13" fillId="0" borderId="0" xfId="1" applyNumberFormat="1" applyFont="1" applyAlignment="1">
      <alignment horizontal="center" wrapText="1"/>
    </xf>
    <xf numFmtId="4" fontId="1" fillId="0" borderId="0" xfId="1" applyNumberFormat="1" applyFont="1" applyAlignment="1">
      <alignment wrapText="1"/>
    </xf>
    <xf numFmtId="164" fontId="1" fillId="0" borderId="0" xfId="2" applyFont="1" applyAlignment="1">
      <alignment wrapText="1"/>
    </xf>
    <xf numFmtId="0" fontId="9" fillId="0" borderId="0" xfId="1" applyFont="1" applyAlignment="1">
      <alignment horizontal="center" wrapText="1"/>
    </xf>
    <xf numFmtId="2" fontId="9" fillId="0" borderId="0" xfId="1" applyNumberFormat="1" applyFont="1" applyAlignment="1">
      <alignment wrapText="1"/>
    </xf>
    <xf numFmtId="3" fontId="6" fillId="0" borderId="11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7" fontId="0" fillId="0" borderId="5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4" fontId="0" fillId="0" borderId="0" xfId="0" applyNumberFormat="1" applyAlignment="1">
      <alignment horizontal="right" wrapText="1"/>
    </xf>
    <xf numFmtId="0" fontId="1" fillId="0" borderId="2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4" fontId="0" fillId="0" borderId="38" xfId="0" applyNumberFormat="1" applyBorder="1" applyAlignment="1">
      <alignment horizontal="center" vertical="center" wrapText="1"/>
    </xf>
    <xf numFmtId="4" fontId="0" fillId="0" borderId="39" xfId="0" applyNumberForma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1" applyFont="1" applyAlignment="1">
      <alignment horizontal="center" wrapText="1"/>
    </xf>
    <xf numFmtId="0" fontId="1" fillId="0" borderId="0" xfId="1" applyFont="1" applyAlignment="1">
      <alignment horizontal="center" vertical="center" wrapText="1"/>
    </xf>
    <xf numFmtId="0" fontId="1" fillId="0" borderId="43" xfId="1" applyFont="1" applyBorder="1" applyAlignment="1">
      <alignment horizontal="center" vertical="center" wrapText="1"/>
    </xf>
    <xf numFmtId="0" fontId="1" fillId="0" borderId="0" xfId="1" applyFont="1" applyAlignment="1">
      <alignment horizontal="center" wrapText="1"/>
    </xf>
    <xf numFmtId="0" fontId="1" fillId="0" borderId="30" xfId="1" applyFont="1" applyBorder="1" applyAlignment="1">
      <alignment horizontal="right" vertical="center" wrapText="1"/>
    </xf>
    <xf numFmtId="0" fontId="1" fillId="0" borderId="31" xfId="1" applyFont="1" applyBorder="1" applyAlignment="1">
      <alignment horizontal="right" vertical="center" wrapText="1"/>
    </xf>
    <xf numFmtId="164" fontId="13" fillId="0" borderId="0" xfId="1" applyNumberFormat="1" applyFont="1" applyAlignment="1">
      <alignment horizontal="center" wrapText="1"/>
    </xf>
    <xf numFmtId="0" fontId="13" fillId="0" borderId="0" xfId="1" applyFont="1" applyAlignment="1">
      <alignment horizontal="center" wrapText="1"/>
    </xf>
    <xf numFmtId="4" fontId="1" fillId="0" borderId="0" xfId="1" applyNumberFormat="1" applyFont="1" applyAlignment="1">
      <alignment horizontal="center" wrapText="1"/>
    </xf>
    <xf numFmtId="0" fontId="7" fillId="0" borderId="41" xfId="0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4" fontId="15" fillId="0" borderId="0" xfId="0" applyNumberFormat="1" applyFont="1"/>
    <xf numFmtId="3" fontId="15" fillId="0" borderId="0" xfId="0" applyNumberFormat="1" applyFont="1"/>
    <xf numFmtId="168" fontId="15" fillId="0" borderId="0" xfId="0" applyNumberFormat="1" applyFont="1"/>
    <xf numFmtId="4" fontId="16" fillId="0" borderId="0" xfId="0" applyNumberFormat="1" applyFont="1" applyAlignment="1">
      <alignment horizontal="centerContinuous"/>
    </xf>
    <xf numFmtId="3" fontId="16" fillId="0" borderId="0" xfId="0" applyNumberFormat="1" applyFont="1" applyAlignment="1">
      <alignment horizontal="centerContinuous"/>
    </xf>
    <xf numFmtId="168" fontId="16" fillId="0" borderId="0" xfId="0" applyNumberFormat="1" applyFont="1" applyAlignment="1">
      <alignment horizontal="centerContinuous"/>
    </xf>
    <xf numFmtId="0" fontId="16" fillId="0" borderId="0" xfId="0" applyFont="1"/>
    <xf numFmtId="0" fontId="17" fillId="0" borderId="51" xfId="0" applyFont="1" applyBorder="1" applyAlignment="1">
      <alignment horizontal="center" vertical="center" wrapText="1"/>
    </xf>
    <xf numFmtId="4" fontId="17" fillId="0" borderId="33" xfId="0" applyNumberFormat="1" applyFont="1" applyBorder="1" applyAlignment="1">
      <alignment horizontal="center" wrapText="1"/>
    </xf>
    <xf numFmtId="4" fontId="17" fillId="0" borderId="43" xfId="0" applyNumberFormat="1" applyFont="1" applyBorder="1" applyAlignment="1">
      <alignment horizontal="center" wrapText="1"/>
    </xf>
    <xf numFmtId="4" fontId="17" fillId="0" borderId="2" xfId="0" applyNumberFormat="1" applyFont="1" applyBorder="1" applyAlignment="1">
      <alignment horizontal="center" wrapText="1"/>
    </xf>
    <xf numFmtId="4" fontId="17" fillId="0" borderId="51" xfId="0" applyNumberFormat="1" applyFont="1" applyBorder="1" applyAlignment="1">
      <alignment horizontal="center" vertical="center" wrapText="1"/>
    </xf>
    <xf numFmtId="168" fontId="17" fillId="0" borderId="5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32" xfId="0" applyNumberFormat="1" applyFont="1" applyBorder="1" applyAlignment="1">
      <alignment horizontal="center" vertical="center" wrapText="1"/>
    </xf>
    <xf numFmtId="4" fontId="17" fillId="0" borderId="37" xfId="0" applyNumberFormat="1" applyFont="1" applyBorder="1" applyAlignment="1">
      <alignment horizontal="center" vertical="center" wrapText="1"/>
    </xf>
    <xf numFmtId="3" fontId="17" fillId="0" borderId="37" xfId="0" applyNumberFormat="1" applyFont="1" applyBorder="1" applyAlignment="1">
      <alignment horizontal="center" vertical="center" wrapText="1"/>
    </xf>
    <xf numFmtId="4" fontId="17" fillId="0" borderId="31" xfId="0" applyNumberFormat="1" applyFont="1" applyBorder="1" applyAlignment="1">
      <alignment horizontal="center" vertical="center" wrapText="1"/>
    </xf>
    <xf numFmtId="4" fontId="17" fillId="0" borderId="52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168" fontId="17" fillId="0" borderId="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17" fontId="15" fillId="0" borderId="34" xfId="0" applyNumberFormat="1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right" vertical="center"/>
    </xf>
    <xf numFmtId="4" fontId="15" fillId="0" borderId="21" xfId="0" applyNumberFormat="1" applyFont="1" applyBorder="1" applyAlignment="1">
      <alignment horizontal="right" vertical="center"/>
    </xf>
    <xf numFmtId="4" fontId="15" fillId="0" borderId="11" xfId="0" applyNumberFormat="1" applyFont="1" applyBorder="1" applyAlignment="1">
      <alignment horizontal="right" vertical="center"/>
    </xf>
    <xf numFmtId="4" fontId="15" fillId="0" borderId="12" xfId="0" applyNumberFormat="1" applyFont="1" applyBorder="1" applyAlignment="1">
      <alignment horizontal="right" vertical="center"/>
    </xf>
    <xf numFmtId="168" fontId="15" fillId="0" borderId="12" xfId="0" applyNumberFormat="1" applyFont="1" applyBorder="1" applyAlignment="1">
      <alignment horizontal="right" vertical="center"/>
    </xf>
    <xf numFmtId="17" fontId="15" fillId="0" borderId="35" xfId="0" applyNumberFormat="1" applyFont="1" applyBorder="1" applyAlignment="1">
      <alignment horizontal="center" vertical="center"/>
    </xf>
    <xf numFmtId="4" fontId="15" fillId="0" borderId="19" xfId="0" applyNumberFormat="1" applyFont="1" applyBorder="1" applyAlignment="1">
      <alignment horizontal="right" vertical="center"/>
    </xf>
    <xf numFmtId="4" fontId="15" fillId="0" borderId="24" xfId="0" applyNumberFormat="1" applyFont="1" applyBorder="1" applyAlignment="1">
      <alignment horizontal="right" vertical="center"/>
    </xf>
    <xf numFmtId="4" fontId="15" fillId="0" borderId="8" xfId="0" applyNumberFormat="1" applyFont="1" applyBorder="1" applyAlignment="1">
      <alignment horizontal="right" vertical="center"/>
    </xf>
    <xf numFmtId="4" fontId="15" fillId="0" borderId="20" xfId="0" applyNumberFormat="1" applyFont="1" applyBorder="1" applyAlignment="1">
      <alignment horizontal="right" vertical="center"/>
    </xf>
    <xf numFmtId="168" fontId="15" fillId="0" borderId="20" xfId="0" applyNumberFormat="1" applyFont="1" applyBorder="1" applyAlignment="1">
      <alignment horizontal="right" vertical="center"/>
    </xf>
    <xf numFmtId="0" fontId="17" fillId="0" borderId="33" xfId="0" applyFont="1" applyBorder="1" applyAlignment="1">
      <alignment horizontal="center" vertical="center"/>
    </xf>
    <xf numFmtId="4" fontId="17" fillId="0" borderId="30" xfId="0" applyNumberFormat="1" applyFont="1" applyBorder="1" applyAlignment="1">
      <alignment horizontal="right" vertical="center"/>
    </xf>
    <xf numFmtId="4" fontId="17" fillId="0" borderId="37" xfId="0" applyNumberFormat="1" applyFont="1" applyBorder="1" applyAlignment="1">
      <alignment horizontal="right" vertical="center"/>
    </xf>
    <xf numFmtId="4" fontId="17" fillId="0" borderId="31" xfId="0" applyNumberFormat="1" applyFont="1" applyBorder="1" applyAlignment="1">
      <alignment horizontal="right" vertical="center"/>
    </xf>
    <xf numFmtId="4" fontId="17" fillId="0" borderId="32" xfId="0" applyNumberFormat="1" applyFont="1" applyBorder="1" applyAlignment="1">
      <alignment horizontal="right" vertical="center"/>
    </xf>
    <xf numFmtId="168" fontId="17" fillId="0" borderId="32" xfId="0" applyNumberFormat="1" applyFont="1" applyBorder="1" applyAlignment="1">
      <alignment horizontal="right" vertical="center"/>
    </xf>
    <xf numFmtId="3" fontId="15" fillId="0" borderId="21" xfId="0" applyNumberFormat="1" applyFont="1" applyBorder="1" applyAlignment="1">
      <alignment horizontal="right" vertical="center"/>
    </xf>
    <xf numFmtId="17" fontId="15" fillId="0" borderId="36" xfId="0" applyNumberFormat="1" applyFont="1" applyBorder="1" applyAlignment="1">
      <alignment horizontal="center" vertical="center"/>
    </xf>
    <xf numFmtId="4" fontId="15" fillId="0" borderId="13" xfId="0" applyNumberFormat="1" applyFont="1" applyBorder="1" applyAlignment="1">
      <alignment horizontal="right" vertical="center"/>
    </xf>
    <xf numFmtId="3" fontId="15" fillId="0" borderId="7" xfId="0" applyNumberFormat="1" applyFont="1" applyBorder="1" applyAlignment="1">
      <alignment horizontal="right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15" xfId="0" applyNumberFormat="1" applyFont="1" applyBorder="1" applyAlignment="1">
      <alignment horizontal="right" vertical="center"/>
    </xf>
    <xf numFmtId="168" fontId="15" fillId="0" borderId="15" xfId="0" applyNumberFormat="1" applyFont="1" applyBorder="1" applyAlignment="1">
      <alignment horizontal="right" vertical="center"/>
    </xf>
    <xf numFmtId="3" fontId="15" fillId="0" borderId="24" xfId="0" applyNumberFormat="1" applyFont="1" applyBorder="1" applyAlignment="1">
      <alignment horizontal="right" vertical="center"/>
    </xf>
    <xf numFmtId="3" fontId="17" fillId="0" borderId="37" xfId="0" applyNumberFormat="1" applyFont="1" applyBorder="1" applyAlignment="1">
      <alignment horizontal="right" vertical="center"/>
    </xf>
    <xf numFmtId="0" fontId="17" fillId="0" borderId="0" xfId="0" applyFont="1"/>
    <xf numFmtId="4" fontId="15" fillId="0" borderId="12" xfId="0" applyNumberFormat="1" applyFont="1" applyFill="1" applyBorder="1" applyAlignment="1">
      <alignment horizontal="right" vertical="center"/>
    </xf>
    <xf numFmtId="4" fontId="15" fillId="0" borderId="15" xfId="0" applyNumberFormat="1" applyFont="1" applyFill="1" applyBorder="1" applyAlignment="1">
      <alignment horizontal="right" vertical="center"/>
    </xf>
    <xf numFmtId="4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4" fontId="19" fillId="0" borderId="0" xfId="0" applyNumberFormat="1" applyFont="1" applyAlignment="1">
      <alignment horizontal="centerContinuous"/>
    </xf>
    <xf numFmtId="3" fontId="19" fillId="0" borderId="0" xfId="0" applyNumberFormat="1" applyFont="1" applyAlignment="1">
      <alignment horizontal="centerContinuous"/>
    </xf>
    <xf numFmtId="0" fontId="19" fillId="0" borderId="0" xfId="0" applyFont="1"/>
    <xf numFmtId="0" fontId="20" fillId="0" borderId="51" xfId="0" applyFont="1" applyBorder="1" applyAlignment="1">
      <alignment horizontal="center" vertical="center" wrapText="1"/>
    </xf>
    <xf numFmtId="4" fontId="21" fillId="0" borderId="33" xfId="0" applyNumberFormat="1" applyFont="1" applyBorder="1" applyAlignment="1">
      <alignment horizontal="center" wrapText="1"/>
    </xf>
    <xf numFmtId="4" fontId="21" fillId="0" borderId="43" xfId="0" applyNumberFormat="1" applyFont="1" applyBorder="1" applyAlignment="1">
      <alignment horizontal="center" wrapText="1"/>
    </xf>
    <xf numFmtId="4" fontId="21" fillId="0" borderId="2" xfId="0" applyNumberFormat="1" applyFont="1" applyBorder="1" applyAlignment="1">
      <alignment horizontal="center" wrapText="1"/>
    </xf>
    <xf numFmtId="4" fontId="20" fillId="0" borderId="5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4" fontId="22" fillId="0" borderId="32" xfId="0" applyNumberFormat="1" applyFont="1" applyBorder="1" applyAlignment="1">
      <alignment horizontal="center" vertical="center" wrapText="1"/>
    </xf>
    <xf numFmtId="4" fontId="20" fillId="0" borderId="37" xfId="0" applyNumberFormat="1" applyFont="1" applyBorder="1" applyAlignment="1">
      <alignment horizontal="center" vertical="center" wrapText="1"/>
    </xf>
    <xf numFmtId="3" fontId="20" fillId="0" borderId="37" xfId="0" applyNumberFormat="1" applyFont="1" applyBorder="1" applyAlignment="1">
      <alignment horizontal="center" vertical="center" wrapText="1"/>
    </xf>
    <xf numFmtId="4" fontId="20" fillId="0" borderId="31" xfId="0" applyNumberFormat="1" applyFont="1" applyBorder="1" applyAlignment="1">
      <alignment horizontal="center" vertical="center" wrapText="1"/>
    </xf>
    <xf numFmtId="4" fontId="20" fillId="0" borderId="52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7" fontId="22" fillId="0" borderId="34" xfId="0" applyNumberFormat="1" applyFont="1" applyBorder="1" applyAlignment="1">
      <alignment horizontal="center" vertical="center"/>
    </xf>
    <xf numFmtId="4" fontId="22" fillId="0" borderId="10" xfId="0" applyNumberFormat="1" applyFont="1" applyBorder="1" applyAlignment="1">
      <alignment horizontal="right" vertical="center"/>
    </xf>
    <xf numFmtId="3" fontId="22" fillId="0" borderId="21" xfId="0" applyNumberFormat="1" applyFont="1" applyBorder="1" applyAlignment="1">
      <alignment horizontal="right" vertical="center"/>
    </xf>
    <xf numFmtId="4" fontId="22" fillId="0" borderId="11" xfId="0" applyNumberFormat="1" applyFont="1" applyBorder="1" applyAlignment="1">
      <alignment horizontal="right" vertical="center"/>
    </xf>
    <xf numFmtId="4" fontId="22" fillId="0" borderId="12" xfId="0" applyNumberFormat="1" applyFont="1" applyBorder="1" applyAlignment="1">
      <alignment horizontal="right" vertical="center"/>
    </xf>
    <xf numFmtId="17" fontId="22" fillId="0" borderId="35" xfId="0" applyNumberFormat="1" applyFont="1" applyBorder="1" applyAlignment="1">
      <alignment horizontal="center" vertical="center"/>
    </xf>
    <xf numFmtId="4" fontId="22" fillId="0" borderId="19" xfId="0" applyNumberFormat="1" applyFont="1" applyBorder="1" applyAlignment="1">
      <alignment horizontal="right" vertical="center"/>
    </xf>
    <xf numFmtId="3" fontId="22" fillId="0" borderId="24" xfId="0" applyNumberFormat="1" applyFont="1" applyBorder="1" applyAlignment="1">
      <alignment horizontal="right" vertical="center"/>
    </xf>
    <xf numFmtId="4" fontId="22" fillId="0" borderId="8" xfId="0" applyNumberFormat="1" applyFont="1" applyBorder="1" applyAlignment="1">
      <alignment horizontal="right" vertical="center"/>
    </xf>
    <xf numFmtId="4" fontId="22" fillId="0" borderId="20" xfId="0" applyNumberFormat="1" applyFont="1" applyBorder="1" applyAlignment="1">
      <alignment horizontal="right" vertical="center"/>
    </xf>
    <xf numFmtId="0" fontId="20" fillId="0" borderId="33" xfId="0" applyFont="1" applyBorder="1" applyAlignment="1">
      <alignment horizontal="center" vertical="center"/>
    </xf>
    <xf numFmtId="4" fontId="20" fillId="0" borderId="30" xfId="0" applyNumberFormat="1" applyFont="1" applyBorder="1" applyAlignment="1">
      <alignment horizontal="right" vertical="center"/>
    </xf>
    <xf numFmtId="3" fontId="20" fillId="0" borderId="37" xfId="0" applyNumberFormat="1" applyFont="1" applyBorder="1" applyAlignment="1">
      <alignment horizontal="right" vertical="center"/>
    </xf>
    <xf numFmtId="4" fontId="20" fillId="0" borderId="31" xfId="0" applyNumberFormat="1" applyFont="1" applyBorder="1" applyAlignment="1">
      <alignment horizontal="right" vertical="center"/>
    </xf>
    <xf numFmtId="4" fontId="20" fillId="0" borderId="32" xfId="0" applyNumberFormat="1" applyFont="1" applyBorder="1" applyAlignment="1">
      <alignment horizontal="right" vertical="center"/>
    </xf>
    <xf numFmtId="4" fontId="23" fillId="0" borderId="0" xfId="0" applyNumberFormat="1" applyFont="1"/>
    <xf numFmtId="17" fontId="22" fillId="0" borderId="36" xfId="0" applyNumberFormat="1" applyFont="1" applyBorder="1" applyAlignment="1">
      <alignment horizontal="center" vertical="center"/>
    </xf>
    <xf numFmtId="4" fontId="22" fillId="0" borderId="13" xfId="0" applyNumberFormat="1" applyFont="1" applyBorder="1" applyAlignment="1">
      <alignment horizontal="right" vertical="center"/>
    </xf>
    <xf numFmtId="3" fontId="22" fillId="0" borderId="7" xfId="0" applyNumberFormat="1" applyFont="1" applyBorder="1" applyAlignment="1">
      <alignment horizontal="right" vertical="center"/>
    </xf>
    <xf numFmtId="4" fontId="22" fillId="0" borderId="5" xfId="0" applyNumberFormat="1" applyFont="1" applyBorder="1" applyAlignment="1">
      <alignment horizontal="right" vertical="center"/>
    </xf>
    <xf numFmtId="4" fontId="22" fillId="0" borderId="15" xfId="0" applyNumberFormat="1" applyFont="1" applyBorder="1" applyAlignment="1">
      <alignment horizontal="right" vertical="center"/>
    </xf>
    <xf numFmtId="0" fontId="21" fillId="0" borderId="0" xfId="0" applyFont="1"/>
    <xf numFmtId="4" fontId="20" fillId="0" borderId="37" xfId="0" applyNumberFormat="1" applyFont="1" applyBorder="1" applyAlignment="1">
      <alignment horizontal="right" vertical="center"/>
    </xf>
    <xf numFmtId="4" fontId="14" fillId="0" borderId="0" xfId="0" applyNumberFormat="1" applyFont="1"/>
    <xf numFmtId="3" fontId="14" fillId="0" borderId="0" xfId="0" applyNumberFormat="1" applyFont="1"/>
    <xf numFmtId="0" fontId="19" fillId="0" borderId="0" xfId="0" applyFont="1" applyAlignment="1">
      <alignment horizontal="left"/>
    </xf>
    <xf numFmtId="4" fontId="15" fillId="0" borderId="0" xfId="0" applyNumberFormat="1" applyFont="1" applyAlignment="1">
      <alignment horizontal="right"/>
    </xf>
    <xf numFmtId="0" fontId="16" fillId="0" borderId="0" xfId="0" applyFont="1" applyAlignment="1">
      <alignment horizontal="left"/>
    </xf>
  </cellXfs>
  <cellStyles count="3">
    <cellStyle name="Обычный" xfId="0" builtinId="0"/>
    <cellStyle name="Обычный 2" xfId="1" xr:uid="{0B860012-2C5E-409A-B0AF-D2EC000CDE69}"/>
    <cellStyle name="Финансовый 2" xfId="2" xr:uid="{9800CC03-8E1C-475F-ACDA-2E7896CDE3D4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4C35A-A97F-4F25-8BF6-64CB9251A602}">
  <dimension ref="A1:G198"/>
  <sheetViews>
    <sheetView workbookViewId="0">
      <pane xSplit="7" ySplit="1" topLeftCell="H2" activePane="bottomRight" state="frozen"/>
      <selection pane="topRight" activeCell="H1" sqref="H1"/>
      <selection pane="bottomLeft" activeCell="A2" sqref="A2"/>
      <selection pane="bottomRight" activeCell="J153" sqref="J153"/>
    </sheetView>
  </sheetViews>
  <sheetFormatPr defaultRowHeight="18" x14ac:dyDescent="0.25"/>
  <cols>
    <col min="2" max="4" width="13.44140625" style="32" bestFit="1" customWidth="1"/>
    <col min="5" max="5" width="8.88671875" style="48"/>
    <col min="6" max="6" width="11.88671875" style="32" bestFit="1" customWidth="1"/>
    <col min="7" max="7" width="14.88671875" style="32" bestFit="1" customWidth="1"/>
  </cols>
  <sheetData>
    <row r="1" spans="1:7" ht="43.5" thickBot="1" x14ac:dyDescent="0.3">
      <c r="A1" s="1" t="s">
        <v>0</v>
      </c>
      <c r="B1" s="17" t="s">
        <v>1</v>
      </c>
      <c r="C1" s="17" t="s">
        <v>2</v>
      </c>
      <c r="D1" s="17" t="s">
        <v>3</v>
      </c>
      <c r="E1" s="33" t="s">
        <v>4</v>
      </c>
      <c r="F1" s="17" t="s">
        <v>5</v>
      </c>
      <c r="G1" s="17" t="s">
        <v>6</v>
      </c>
    </row>
    <row r="2" spans="1:7" ht="18.75" thickBot="1" x14ac:dyDescent="0.3">
      <c r="A2" s="2">
        <v>43405</v>
      </c>
      <c r="B2" s="18">
        <v>2432173.42</v>
      </c>
      <c r="C2" s="18">
        <v>1153281.1299999999</v>
      </c>
      <c r="D2" s="18">
        <v>3585454.55</v>
      </c>
      <c r="E2" s="34">
        <v>18</v>
      </c>
      <c r="F2" s="18">
        <v>645381.81999999995</v>
      </c>
      <c r="G2" s="18">
        <v>4230836.37</v>
      </c>
    </row>
    <row r="3" spans="1:7" ht="18.75" thickBot="1" x14ac:dyDescent="0.3">
      <c r="A3" s="2">
        <v>43435</v>
      </c>
      <c r="B3" s="18">
        <v>2432173.42</v>
      </c>
      <c r="C3" s="18">
        <v>1153281.1299999999</v>
      </c>
      <c r="D3" s="18">
        <v>3585454.55</v>
      </c>
      <c r="E3" s="34">
        <v>18</v>
      </c>
      <c r="F3" s="18">
        <v>645381.81999999995</v>
      </c>
      <c r="G3" s="18">
        <v>4230836.37</v>
      </c>
    </row>
    <row r="4" spans="1:7" ht="18.75" thickBot="1" x14ac:dyDescent="0.3">
      <c r="A4" s="3"/>
      <c r="B4" s="19">
        <v>4864346.84</v>
      </c>
      <c r="C4" s="19">
        <v>2306562.2599999998</v>
      </c>
      <c r="D4" s="19">
        <v>7170909.0999999996</v>
      </c>
      <c r="E4" s="35">
        <v>18</v>
      </c>
      <c r="F4" s="19">
        <v>1290763.6399999999</v>
      </c>
      <c r="G4" s="19">
        <v>8461672.7400000002</v>
      </c>
    </row>
    <row r="5" spans="1:7" ht="18.75" thickBot="1" x14ac:dyDescent="0.3">
      <c r="A5" s="4">
        <v>43466</v>
      </c>
      <c r="B5" s="20">
        <v>2432173.42</v>
      </c>
      <c r="C5" s="20">
        <v>1435326.58</v>
      </c>
      <c r="D5" s="20">
        <v>3867500</v>
      </c>
      <c r="E5" s="36">
        <v>20</v>
      </c>
      <c r="F5" s="20">
        <v>773500</v>
      </c>
      <c r="G5" s="20">
        <v>4641000</v>
      </c>
    </row>
    <row r="6" spans="1:7" ht="18.75" thickBot="1" x14ac:dyDescent="0.3">
      <c r="A6" s="4">
        <v>43497</v>
      </c>
      <c r="B6" s="20">
        <v>2432173.42</v>
      </c>
      <c r="C6" s="20">
        <v>1435326.58</v>
      </c>
      <c r="D6" s="20">
        <v>3867500</v>
      </c>
      <c r="E6" s="36">
        <v>20</v>
      </c>
      <c r="F6" s="20">
        <v>773500</v>
      </c>
      <c r="G6" s="20">
        <v>4641000</v>
      </c>
    </row>
    <row r="7" spans="1:7" ht="18.75" thickBot="1" x14ac:dyDescent="0.3">
      <c r="A7" s="4">
        <v>43525</v>
      </c>
      <c r="B7" s="20">
        <v>2432173.42</v>
      </c>
      <c r="C7" s="20">
        <v>1435326.58</v>
      </c>
      <c r="D7" s="20">
        <v>3867500</v>
      </c>
      <c r="E7" s="36">
        <v>20</v>
      </c>
      <c r="F7" s="20">
        <v>773500</v>
      </c>
      <c r="G7" s="20">
        <v>4641000</v>
      </c>
    </row>
    <row r="8" spans="1:7" ht="18.75" thickBot="1" x14ac:dyDescent="0.3">
      <c r="A8" s="4">
        <v>43556</v>
      </c>
      <c r="B8" s="20">
        <v>2432173.42</v>
      </c>
      <c r="C8" s="20">
        <v>1435326.58</v>
      </c>
      <c r="D8" s="20">
        <v>3867500</v>
      </c>
      <c r="E8" s="36">
        <v>20</v>
      </c>
      <c r="F8" s="20">
        <v>773500</v>
      </c>
      <c r="G8" s="20">
        <v>4641000</v>
      </c>
    </row>
    <row r="9" spans="1:7" ht="18.75" thickBot="1" x14ac:dyDescent="0.3">
      <c r="A9" s="4">
        <v>43586</v>
      </c>
      <c r="B9" s="20">
        <v>2432173.42</v>
      </c>
      <c r="C9" s="20">
        <v>1435326.58</v>
      </c>
      <c r="D9" s="20">
        <v>3867500</v>
      </c>
      <c r="E9" s="36">
        <v>20</v>
      </c>
      <c r="F9" s="20">
        <v>773500</v>
      </c>
      <c r="G9" s="20">
        <v>4641000</v>
      </c>
    </row>
    <row r="10" spans="1:7" ht="18.75" thickBot="1" x14ac:dyDescent="0.3">
      <c r="A10" s="4">
        <v>43617</v>
      </c>
      <c r="B10" s="20">
        <v>2432173.42</v>
      </c>
      <c r="C10" s="20">
        <v>1435326.58</v>
      </c>
      <c r="D10" s="20">
        <v>3867500</v>
      </c>
      <c r="E10" s="36">
        <v>20</v>
      </c>
      <c r="F10" s="20">
        <v>773500</v>
      </c>
      <c r="G10" s="20">
        <v>4641000</v>
      </c>
    </row>
    <row r="11" spans="1:7" ht="18.75" thickBot="1" x14ac:dyDescent="0.3">
      <c r="A11" s="4">
        <v>43647</v>
      </c>
      <c r="B11" s="20">
        <v>2432173.42</v>
      </c>
      <c r="C11" s="20">
        <v>1435326.58</v>
      </c>
      <c r="D11" s="20">
        <v>3867500</v>
      </c>
      <c r="E11" s="36">
        <v>20</v>
      </c>
      <c r="F11" s="20">
        <v>773500</v>
      </c>
      <c r="G11" s="20">
        <v>4641000</v>
      </c>
    </row>
    <row r="12" spans="1:7" ht="18.75" thickBot="1" x14ac:dyDescent="0.3">
      <c r="A12" s="4">
        <v>43678</v>
      </c>
      <c r="B12" s="20">
        <v>2432173.42</v>
      </c>
      <c r="C12" s="20">
        <v>1435326.58</v>
      </c>
      <c r="D12" s="20">
        <v>3867500</v>
      </c>
      <c r="E12" s="36">
        <v>20</v>
      </c>
      <c r="F12" s="20">
        <v>773500</v>
      </c>
      <c r="G12" s="20">
        <v>4641000</v>
      </c>
    </row>
    <row r="13" spans="1:7" ht="18.75" thickBot="1" x14ac:dyDescent="0.3">
      <c r="A13" s="4">
        <v>43709</v>
      </c>
      <c r="B13" s="20">
        <v>2432173.42</v>
      </c>
      <c r="C13" s="20">
        <v>1435326.58</v>
      </c>
      <c r="D13" s="20">
        <v>3867500</v>
      </c>
      <c r="E13" s="36">
        <v>20</v>
      </c>
      <c r="F13" s="20">
        <v>773500</v>
      </c>
      <c r="G13" s="20">
        <v>4641000</v>
      </c>
    </row>
    <row r="14" spans="1:7" ht="18.75" thickBot="1" x14ac:dyDescent="0.3">
      <c r="A14" s="4">
        <v>43739</v>
      </c>
      <c r="B14" s="20">
        <v>2432173.42</v>
      </c>
      <c r="C14" s="20">
        <v>1435326.58</v>
      </c>
      <c r="D14" s="20">
        <v>3867500</v>
      </c>
      <c r="E14" s="36">
        <v>20</v>
      </c>
      <c r="F14" s="20">
        <v>773500</v>
      </c>
      <c r="G14" s="20">
        <v>4641000</v>
      </c>
    </row>
    <row r="15" spans="1:7" ht="18.75" thickBot="1" x14ac:dyDescent="0.3">
      <c r="A15" s="4">
        <v>43770</v>
      </c>
      <c r="B15" s="20">
        <v>2432173.42</v>
      </c>
      <c r="C15" s="20">
        <v>1435326.58</v>
      </c>
      <c r="D15" s="20">
        <v>3867500</v>
      </c>
      <c r="E15" s="36">
        <v>20</v>
      </c>
      <c r="F15" s="20">
        <v>773500</v>
      </c>
      <c r="G15" s="20">
        <v>4641000</v>
      </c>
    </row>
    <row r="16" spans="1:7" ht="18.75" thickBot="1" x14ac:dyDescent="0.3">
      <c r="A16" s="4">
        <v>43800</v>
      </c>
      <c r="B16" s="20">
        <v>2432173.42</v>
      </c>
      <c r="C16" s="20">
        <v>1435326.58</v>
      </c>
      <c r="D16" s="20">
        <v>3867500</v>
      </c>
      <c r="E16" s="36">
        <v>20</v>
      </c>
      <c r="F16" s="20">
        <v>773500</v>
      </c>
      <c r="G16" s="20">
        <v>4641000</v>
      </c>
    </row>
    <row r="17" spans="1:7" ht="18.75" thickBot="1" x14ac:dyDescent="0.3">
      <c r="A17" s="5"/>
      <c r="B17" s="19">
        <v>29186081.039999999</v>
      </c>
      <c r="C17" s="19">
        <v>17223918.960000001</v>
      </c>
      <c r="D17" s="19">
        <v>46410000</v>
      </c>
      <c r="E17" s="35">
        <v>20</v>
      </c>
      <c r="F17" s="19">
        <v>9282000</v>
      </c>
      <c r="G17" s="19">
        <v>55692000</v>
      </c>
    </row>
    <row r="18" spans="1:7" ht="18.75" thickBot="1" x14ac:dyDescent="0.3">
      <c r="A18" s="6">
        <v>43831</v>
      </c>
      <c r="B18" s="21">
        <v>2432173.42</v>
      </c>
      <c r="C18" s="21">
        <v>1611993.25</v>
      </c>
      <c r="D18" s="21">
        <v>4044166.67</v>
      </c>
      <c r="E18" s="37">
        <v>20</v>
      </c>
      <c r="F18" s="21">
        <v>808833.33</v>
      </c>
      <c r="G18" s="21">
        <v>4853000</v>
      </c>
    </row>
    <row r="19" spans="1:7" ht="18.75" thickBot="1" x14ac:dyDescent="0.3">
      <c r="A19" s="6">
        <v>43862</v>
      </c>
      <c r="B19" s="21">
        <v>2432173.42</v>
      </c>
      <c r="C19" s="21">
        <v>1611993.25</v>
      </c>
      <c r="D19" s="21">
        <v>4044166.67</v>
      </c>
      <c r="E19" s="37">
        <v>20</v>
      </c>
      <c r="F19" s="21">
        <v>808833.33</v>
      </c>
      <c r="G19" s="21">
        <v>4853000</v>
      </c>
    </row>
    <row r="20" spans="1:7" ht="18.75" thickBot="1" x14ac:dyDescent="0.3">
      <c r="A20" s="6">
        <v>43891</v>
      </c>
      <c r="B20" s="21">
        <v>2432173.42</v>
      </c>
      <c r="C20" s="21">
        <v>1611993.25</v>
      </c>
      <c r="D20" s="21">
        <v>4044166.67</v>
      </c>
      <c r="E20" s="37">
        <v>20</v>
      </c>
      <c r="F20" s="21">
        <v>808833.33</v>
      </c>
      <c r="G20" s="21">
        <v>4853000</v>
      </c>
    </row>
    <row r="21" spans="1:7" ht="18.75" thickBot="1" x14ac:dyDescent="0.3">
      <c r="A21" s="6">
        <v>43922</v>
      </c>
      <c r="B21" s="21">
        <v>2432173.42</v>
      </c>
      <c r="C21" s="21">
        <v>1611993.25</v>
      </c>
      <c r="D21" s="21">
        <v>4044166.67</v>
      </c>
      <c r="E21" s="37">
        <v>20</v>
      </c>
      <c r="F21" s="21">
        <v>808833.33</v>
      </c>
      <c r="G21" s="21">
        <v>4853000</v>
      </c>
    </row>
    <row r="22" spans="1:7" ht="18.75" thickBot="1" x14ac:dyDescent="0.3">
      <c r="A22" s="6">
        <v>43952</v>
      </c>
      <c r="B22" s="21">
        <v>2432173.42</v>
      </c>
      <c r="C22" s="21">
        <v>1611993.25</v>
      </c>
      <c r="D22" s="21">
        <v>4044166.67</v>
      </c>
      <c r="E22" s="37">
        <v>20</v>
      </c>
      <c r="F22" s="21">
        <v>808833.33</v>
      </c>
      <c r="G22" s="21">
        <v>4853000</v>
      </c>
    </row>
    <row r="23" spans="1:7" ht="18.75" thickBot="1" x14ac:dyDescent="0.3">
      <c r="A23" s="6">
        <v>43983</v>
      </c>
      <c r="B23" s="21">
        <v>2432173.42</v>
      </c>
      <c r="C23" s="21">
        <v>1611993.25</v>
      </c>
      <c r="D23" s="21">
        <v>4044166.67</v>
      </c>
      <c r="E23" s="37">
        <v>20</v>
      </c>
      <c r="F23" s="21">
        <v>808833.33</v>
      </c>
      <c r="G23" s="21">
        <v>4853000</v>
      </c>
    </row>
    <row r="24" spans="1:7" ht="18.75" thickBot="1" x14ac:dyDescent="0.3">
      <c r="A24" s="6">
        <v>44013</v>
      </c>
      <c r="B24" s="21">
        <v>2432173.42</v>
      </c>
      <c r="C24" s="21">
        <v>1611993.25</v>
      </c>
      <c r="D24" s="21">
        <v>4044166.67</v>
      </c>
      <c r="E24" s="37">
        <v>20</v>
      </c>
      <c r="F24" s="21">
        <v>808833.33</v>
      </c>
      <c r="G24" s="21">
        <v>4853000</v>
      </c>
    </row>
    <row r="25" spans="1:7" ht="18.75" thickBot="1" x14ac:dyDescent="0.3">
      <c r="A25" s="6">
        <v>44044</v>
      </c>
      <c r="B25" s="21">
        <v>2432173.42</v>
      </c>
      <c r="C25" s="21">
        <v>1611993.25</v>
      </c>
      <c r="D25" s="21">
        <v>4044166.67</v>
      </c>
      <c r="E25" s="37">
        <v>20</v>
      </c>
      <c r="F25" s="21">
        <v>808833.33</v>
      </c>
      <c r="G25" s="21">
        <v>4853000</v>
      </c>
    </row>
    <row r="26" spans="1:7" ht="18.75" thickBot="1" x14ac:dyDescent="0.3">
      <c r="A26" s="6">
        <v>44075</v>
      </c>
      <c r="B26" s="21">
        <v>2432173.42</v>
      </c>
      <c r="C26" s="21">
        <v>1611993.25</v>
      </c>
      <c r="D26" s="21">
        <v>4044166.67</v>
      </c>
      <c r="E26" s="37">
        <v>20</v>
      </c>
      <c r="F26" s="21">
        <v>808833.33</v>
      </c>
      <c r="G26" s="21">
        <v>4853000</v>
      </c>
    </row>
    <row r="27" spans="1:7" ht="18.75" thickBot="1" x14ac:dyDescent="0.3">
      <c r="A27" s="6">
        <v>44105</v>
      </c>
      <c r="B27" s="21">
        <v>2432173.42</v>
      </c>
      <c r="C27" s="21">
        <v>1611993.25</v>
      </c>
      <c r="D27" s="21">
        <v>4044166.67</v>
      </c>
      <c r="E27" s="37">
        <v>20</v>
      </c>
      <c r="F27" s="21">
        <v>808833.33</v>
      </c>
      <c r="G27" s="21">
        <v>4853000</v>
      </c>
    </row>
    <row r="28" spans="1:7" ht="18.75" thickBot="1" x14ac:dyDescent="0.3">
      <c r="A28" s="6">
        <v>44136</v>
      </c>
      <c r="B28" s="21">
        <v>2432173.42</v>
      </c>
      <c r="C28" s="21">
        <v>1611993.25</v>
      </c>
      <c r="D28" s="21">
        <v>4044166.67</v>
      </c>
      <c r="E28" s="37">
        <v>20</v>
      </c>
      <c r="F28" s="21">
        <v>808833.33</v>
      </c>
      <c r="G28" s="21">
        <v>4853000</v>
      </c>
    </row>
    <row r="29" spans="1:7" ht="18.75" thickBot="1" x14ac:dyDescent="0.3">
      <c r="A29" s="6">
        <v>44166</v>
      </c>
      <c r="B29" s="21">
        <v>2432173.42</v>
      </c>
      <c r="C29" s="21">
        <v>1611993.25</v>
      </c>
      <c r="D29" s="21">
        <v>4044166.67</v>
      </c>
      <c r="E29" s="37">
        <v>20</v>
      </c>
      <c r="F29" s="21">
        <v>808833.33</v>
      </c>
      <c r="G29" s="21">
        <v>4853000</v>
      </c>
    </row>
    <row r="30" spans="1:7" ht="18.75" thickBot="1" x14ac:dyDescent="0.3">
      <c r="A30" s="5"/>
      <c r="B30" s="19">
        <v>29186081.039999999</v>
      </c>
      <c r="C30" s="19">
        <v>19343919</v>
      </c>
      <c r="D30" s="19">
        <v>48530000.039999999</v>
      </c>
      <c r="E30" s="35">
        <v>20</v>
      </c>
      <c r="F30" s="19">
        <v>9705999.9600000009</v>
      </c>
      <c r="G30" s="19">
        <v>58236000</v>
      </c>
    </row>
    <row r="31" spans="1:7" ht="18.75" thickBot="1" x14ac:dyDescent="0.3">
      <c r="A31" s="7">
        <v>44197</v>
      </c>
      <c r="B31" s="22">
        <v>2432173.42</v>
      </c>
      <c r="C31" s="22">
        <v>1793659.91</v>
      </c>
      <c r="D31" s="22">
        <v>4225833.33</v>
      </c>
      <c r="E31" s="38">
        <v>20</v>
      </c>
      <c r="F31" s="22">
        <v>845166.67</v>
      </c>
      <c r="G31" s="22">
        <v>5071000</v>
      </c>
    </row>
    <row r="32" spans="1:7" ht="18.75" thickBot="1" x14ac:dyDescent="0.3">
      <c r="A32" s="7">
        <v>44228</v>
      </c>
      <c r="B32" s="22">
        <v>2432173.42</v>
      </c>
      <c r="C32" s="22">
        <v>1793659.91</v>
      </c>
      <c r="D32" s="22">
        <v>4225833.33</v>
      </c>
      <c r="E32" s="38">
        <v>20</v>
      </c>
      <c r="F32" s="22">
        <v>845166.67</v>
      </c>
      <c r="G32" s="22">
        <v>5071000</v>
      </c>
    </row>
    <row r="33" spans="1:7" ht="18.75" thickBot="1" x14ac:dyDescent="0.3">
      <c r="A33" s="7">
        <v>44256</v>
      </c>
      <c r="B33" s="22">
        <v>2432173.42</v>
      </c>
      <c r="C33" s="22">
        <v>1793659.91</v>
      </c>
      <c r="D33" s="22">
        <v>4225833.33</v>
      </c>
      <c r="E33" s="38">
        <v>20</v>
      </c>
      <c r="F33" s="22">
        <v>845166.67</v>
      </c>
      <c r="G33" s="22">
        <v>5071000</v>
      </c>
    </row>
    <row r="34" spans="1:7" ht="18.75" thickBot="1" x14ac:dyDescent="0.3">
      <c r="A34" s="7">
        <v>44287</v>
      </c>
      <c r="B34" s="22">
        <v>2432173.42</v>
      </c>
      <c r="C34" s="22">
        <v>1793659.91</v>
      </c>
      <c r="D34" s="22">
        <v>4225833.33</v>
      </c>
      <c r="E34" s="38">
        <v>20</v>
      </c>
      <c r="F34" s="22">
        <v>845166.67</v>
      </c>
      <c r="G34" s="22">
        <v>5071000</v>
      </c>
    </row>
    <row r="35" spans="1:7" ht="18.75" thickBot="1" x14ac:dyDescent="0.3">
      <c r="A35" s="7">
        <v>44317</v>
      </c>
      <c r="B35" s="22">
        <v>2432173.42</v>
      </c>
      <c r="C35" s="22">
        <v>1793659.91</v>
      </c>
      <c r="D35" s="22">
        <v>4225833.33</v>
      </c>
      <c r="E35" s="38">
        <v>20</v>
      </c>
      <c r="F35" s="22">
        <v>845166.67</v>
      </c>
      <c r="G35" s="22">
        <v>5071000</v>
      </c>
    </row>
    <row r="36" spans="1:7" ht="18.75" thickBot="1" x14ac:dyDescent="0.3">
      <c r="A36" s="7">
        <v>44348</v>
      </c>
      <c r="B36" s="22">
        <v>2432173.42</v>
      </c>
      <c r="C36" s="22">
        <v>1793659.91</v>
      </c>
      <c r="D36" s="22">
        <v>4225833.33</v>
      </c>
      <c r="E36" s="38">
        <v>20</v>
      </c>
      <c r="F36" s="22">
        <v>845166.67</v>
      </c>
      <c r="G36" s="22">
        <v>5071000</v>
      </c>
    </row>
    <row r="37" spans="1:7" ht="18.75" thickBot="1" x14ac:dyDescent="0.3">
      <c r="A37" s="7">
        <v>44378</v>
      </c>
      <c r="B37" s="22">
        <v>2432173.42</v>
      </c>
      <c r="C37" s="22">
        <v>1793659.91</v>
      </c>
      <c r="D37" s="22">
        <v>4225833.33</v>
      </c>
      <c r="E37" s="38">
        <v>20</v>
      </c>
      <c r="F37" s="22">
        <v>845166.67</v>
      </c>
      <c r="G37" s="22">
        <v>5071000</v>
      </c>
    </row>
    <row r="38" spans="1:7" ht="18.75" thickBot="1" x14ac:dyDescent="0.3">
      <c r="A38" s="7">
        <v>44409</v>
      </c>
      <c r="B38" s="22">
        <v>2432173.42</v>
      </c>
      <c r="C38" s="22">
        <v>1793659.91</v>
      </c>
      <c r="D38" s="22">
        <v>4225833.33</v>
      </c>
      <c r="E38" s="38">
        <v>20</v>
      </c>
      <c r="F38" s="22">
        <v>845166.67</v>
      </c>
      <c r="G38" s="22">
        <v>5071000</v>
      </c>
    </row>
    <row r="39" spans="1:7" ht="18.75" thickBot="1" x14ac:dyDescent="0.3">
      <c r="A39" s="7">
        <v>44440</v>
      </c>
      <c r="B39" s="22">
        <v>2432173.42</v>
      </c>
      <c r="C39" s="22">
        <v>1793659.91</v>
      </c>
      <c r="D39" s="22">
        <v>4225833.33</v>
      </c>
      <c r="E39" s="38">
        <v>20</v>
      </c>
      <c r="F39" s="22">
        <v>845166.67</v>
      </c>
      <c r="G39" s="22">
        <v>5071000</v>
      </c>
    </row>
    <row r="40" spans="1:7" ht="18.75" thickBot="1" x14ac:dyDescent="0.3">
      <c r="A40" s="7">
        <v>44470</v>
      </c>
      <c r="B40" s="22">
        <v>2432173.42</v>
      </c>
      <c r="C40" s="22">
        <v>1793659.91</v>
      </c>
      <c r="D40" s="22">
        <v>4225833.33</v>
      </c>
      <c r="E40" s="38">
        <v>20</v>
      </c>
      <c r="F40" s="22">
        <v>845166.67</v>
      </c>
      <c r="G40" s="22">
        <v>5071000</v>
      </c>
    </row>
    <row r="41" spans="1:7" ht="18.75" thickBot="1" x14ac:dyDescent="0.3">
      <c r="A41" s="7">
        <v>44501</v>
      </c>
      <c r="B41" s="22">
        <v>2432173.42</v>
      </c>
      <c r="C41" s="22">
        <v>1793659.91</v>
      </c>
      <c r="D41" s="22">
        <v>4225833.33</v>
      </c>
      <c r="E41" s="38">
        <v>20</v>
      </c>
      <c r="F41" s="22">
        <v>845166.67</v>
      </c>
      <c r="G41" s="22">
        <v>5071000</v>
      </c>
    </row>
    <row r="42" spans="1:7" ht="18.75" thickBot="1" x14ac:dyDescent="0.3">
      <c r="A42" s="7">
        <v>44531</v>
      </c>
      <c r="B42" s="22">
        <v>2432173.42</v>
      </c>
      <c r="C42" s="22">
        <v>1793659.91</v>
      </c>
      <c r="D42" s="22">
        <v>4225833.33</v>
      </c>
      <c r="E42" s="38">
        <v>20</v>
      </c>
      <c r="F42" s="22">
        <v>845166.67</v>
      </c>
      <c r="G42" s="22">
        <v>5071000</v>
      </c>
    </row>
    <row r="43" spans="1:7" ht="18.75" thickBot="1" x14ac:dyDescent="0.3">
      <c r="A43" s="5"/>
      <c r="B43" s="19">
        <v>29186081.039999999</v>
      </c>
      <c r="C43" s="19">
        <v>21523918.920000002</v>
      </c>
      <c r="D43" s="19">
        <v>50709999.960000001</v>
      </c>
      <c r="E43" s="35">
        <v>20</v>
      </c>
      <c r="F43" s="19">
        <v>10142000.039999999</v>
      </c>
      <c r="G43" s="19">
        <v>60852000</v>
      </c>
    </row>
    <row r="44" spans="1:7" ht="18.75" thickBot="1" x14ac:dyDescent="0.3">
      <c r="A44" s="8">
        <v>44562</v>
      </c>
      <c r="B44" s="23">
        <v>2432173.42</v>
      </c>
      <c r="C44" s="23">
        <v>1979493.25</v>
      </c>
      <c r="D44" s="23">
        <v>4411666.67</v>
      </c>
      <c r="E44" s="39">
        <v>20</v>
      </c>
      <c r="F44" s="23">
        <v>882333.33</v>
      </c>
      <c r="G44" s="23">
        <v>5294000</v>
      </c>
    </row>
    <row r="45" spans="1:7" ht="18.75" thickBot="1" x14ac:dyDescent="0.3">
      <c r="A45" s="8">
        <v>44593</v>
      </c>
      <c r="B45" s="23">
        <v>2432173.42</v>
      </c>
      <c r="C45" s="23">
        <v>1979493.25</v>
      </c>
      <c r="D45" s="23">
        <v>4411666.67</v>
      </c>
      <c r="E45" s="39">
        <v>20</v>
      </c>
      <c r="F45" s="23">
        <v>882333.33</v>
      </c>
      <c r="G45" s="23">
        <v>5294000</v>
      </c>
    </row>
    <row r="46" spans="1:7" ht="18.75" thickBot="1" x14ac:dyDescent="0.3">
      <c r="A46" s="8">
        <v>44621</v>
      </c>
      <c r="B46" s="23">
        <v>2432173.42</v>
      </c>
      <c r="C46" s="23">
        <v>1979493.25</v>
      </c>
      <c r="D46" s="23">
        <v>4411666.67</v>
      </c>
      <c r="E46" s="39">
        <v>20</v>
      </c>
      <c r="F46" s="23">
        <v>882333.33</v>
      </c>
      <c r="G46" s="23">
        <v>5294000</v>
      </c>
    </row>
    <row r="47" spans="1:7" ht="18.75" thickBot="1" x14ac:dyDescent="0.3">
      <c r="A47" s="8">
        <v>44652</v>
      </c>
      <c r="B47" s="23">
        <v>2432173.42</v>
      </c>
      <c r="C47" s="23">
        <v>1979493.25</v>
      </c>
      <c r="D47" s="23">
        <v>4411666.67</v>
      </c>
      <c r="E47" s="39">
        <v>20</v>
      </c>
      <c r="F47" s="23">
        <v>882333.33</v>
      </c>
      <c r="G47" s="23">
        <v>5294000</v>
      </c>
    </row>
    <row r="48" spans="1:7" ht="18.75" thickBot="1" x14ac:dyDescent="0.3">
      <c r="A48" s="8">
        <v>44682</v>
      </c>
      <c r="B48" s="23">
        <v>2432173.42</v>
      </c>
      <c r="C48" s="23">
        <v>1979493.25</v>
      </c>
      <c r="D48" s="23">
        <v>4411666.67</v>
      </c>
      <c r="E48" s="39">
        <v>20</v>
      </c>
      <c r="F48" s="23">
        <v>882333.33</v>
      </c>
      <c r="G48" s="23">
        <v>5294000</v>
      </c>
    </row>
    <row r="49" spans="1:7" ht="18.75" thickBot="1" x14ac:dyDescent="0.3">
      <c r="A49" s="8">
        <v>44713</v>
      </c>
      <c r="B49" s="23">
        <v>2432173.42</v>
      </c>
      <c r="C49" s="23">
        <v>1979493.25</v>
      </c>
      <c r="D49" s="23">
        <v>4411666.67</v>
      </c>
      <c r="E49" s="39">
        <v>20</v>
      </c>
      <c r="F49" s="23">
        <v>882333.33</v>
      </c>
      <c r="G49" s="23">
        <v>5294000</v>
      </c>
    </row>
    <row r="50" spans="1:7" ht="18.75" thickBot="1" x14ac:dyDescent="0.3">
      <c r="A50" s="8">
        <v>44743</v>
      </c>
      <c r="B50" s="23">
        <v>2432173.42</v>
      </c>
      <c r="C50" s="23">
        <v>1979493.25</v>
      </c>
      <c r="D50" s="23">
        <v>4411666.67</v>
      </c>
      <c r="E50" s="39">
        <v>20</v>
      </c>
      <c r="F50" s="23">
        <v>882333.33</v>
      </c>
      <c r="G50" s="23">
        <v>5294000</v>
      </c>
    </row>
    <row r="51" spans="1:7" ht="18.75" thickBot="1" x14ac:dyDescent="0.3">
      <c r="A51" s="8">
        <v>44774</v>
      </c>
      <c r="B51" s="23">
        <v>2432173.42</v>
      </c>
      <c r="C51" s="23">
        <v>1979493.25</v>
      </c>
      <c r="D51" s="23">
        <v>4411666.67</v>
      </c>
      <c r="E51" s="39">
        <v>20</v>
      </c>
      <c r="F51" s="23">
        <v>882333.33</v>
      </c>
      <c r="G51" s="23">
        <v>5294000</v>
      </c>
    </row>
    <row r="52" spans="1:7" ht="18.75" thickBot="1" x14ac:dyDescent="0.3">
      <c r="A52" s="8">
        <v>44805</v>
      </c>
      <c r="B52" s="23">
        <v>2432173.42</v>
      </c>
      <c r="C52" s="23">
        <v>1979493.25</v>
      </c>
      <c r="D52" s="23">
        <v>4411666.67</v>
      </c>
      <c r="E52" s="39">
        <v>20</v>
      </c>
      <c r="F52" s="23">
        <v>882333.33</v>
      </c>
      <c r="G52" s="23">
        <v>5294000</v>
      </c>
    </row>
    <row r="53" spans="1:7" ht="18.75" thickBot="1" x14ac:dyDescent="0.3">
      <c r="A53" s="8">
        <v>44835</v>
      </c>
      <c r="B53" s="23">
        <v>2432173.42</v>
      </c>
      <c r="C53" s="23">
        <v>1979493.25</v>
      </c>
      <c r="D53" s="23">
        <v>4411666.67</v>
      </c>
      <c r="E53" s="39">
        <v>20</v>
      </c>
      <c r="F53" s="23">
        <v>882333.33</v>
      </c>
      <c r="G53" s="23">
        <v>5294000</v>
      </c>
    </row>
    <row r="54" spans="1:7" ht="18.75" thickBot="1" x14ac:dyDescent="0.3">
      <c r="A54" s="8">
        <v>44866</v>
      </c>
      <c r="B54" s="23">
        <v>2432173.42</v>
      </c>
      <c r="C54" s="23">
        <v>1979493.25</v>
      </c>
      <c r="D54" s="23">
        <v>4411666.67</v>
      </c>
      <c r="E54" s="39">
        <v>20</v>
      </c>
      <c r="F54" s="23">
        <v>882333.33</v>
      </c>
      <c r="G54" s="23">
        <v>5294000</v>
      </c>
    </row>
    <row r="55" spans="1:7" ht="18.75" thickBot="1" x14ac:dyDescent="0.3">
      <c r="A55" s="8">
        <v>44896</v>
      </c>
      <c r="B55" s="23">
        <v>2432173.42</v>
      </c>
      <c r="C55" s="23">
        <v>1979493.25</v>
      </c>
      <c r="D55" s="23">
        <v>4411666.67</v>
      </c>
      <c r="E55" s="39">
        <v>20</v>
      </c>
      <c r="F55" s="23">
        <v>882333.33</v>
      </c>
      <c r="G55" s="23">
        <v>5294000</v>
      </c>
    </row>
    <row r="56" spans="1:7" ht="18.75" thickBot="1" x14ac:dyDescent="0.3">
      <c r="A56" s="5"/>
      <c r="B56" s="19">
        <v>29186081.039999999</v>
      </c>
      <c r="C56" s="19">
        <v>23753919</v>
      </c>
      <c r="D56" s="19">
        <v>52940000.039999999</v>
      </c>
      <c r="E56" s="35">
        <v>20</v>
      </c>
      <c r="F56" s="19">
        <v>10587999.960000001</v>
      </c>
      <c r="G56" s="19">
        <v>63528000</v>
      </c>
    </row>
    <row r="57" spans="1:7" ht="18.75" thickBot="1" x14ac:dyDescent="0.3">
      <c r="A57" s="9">
        <v>44927</v>
      </c>
      <c r="B57" s="24">
        <v>2432173.42</v>
      </c>
      <c r="C57" s="24">
        <v>2170326.58</v>
      </c>
      <c r="D57" s="24">
        <v>4602500</v>
      </c>
      <c r="E57" s="40">
        <v>20</v>
      </c>
      <c r="F57" s="24">
        <v>920500</v>
      </c>
      <c r="G57" s="24">
        <v>5523000</v>
      </c>
    </row>
    <row r="58" spans="1:7" ht="18.75" thickBot="1" x14ac:dyDescent="0.3">
      <c r="A58" s="9">
        <v>44958</v>
      </c>
      <c r="B58" s="24">
        <v>2432173.42</v>
      </c>
      <c r="C58" s="24">
        <v>2170326.58</v>
      </c>
      <c r="D58" s="24">
        <v>4602500</v>
      </c>
      <c r="E58" s="40">
        <v>20</v>
      </c>
      <c r="F58" s="24">
        <v>920500</v>
      </c>
      <c r="G58" s="24">
        <v>5523000</v>
      </c>
    </row>
    <row r="59" spans="1:7" ht="18.75" thickBot="1" x14ac:dyDescent="0.3">
      <c r="A59" s="9">
        <v>44986</v>
      </c>
      <c r="B59" s="24">
        <v>2432173.42</v>
      </c>
      <c r="C59" s="24">
        <v>2170326.58</v>
      </c>
      <c r="D59" s="24">
        <v>4602500</v>
      </c>
      <c r="E59" s="40">
        <v>20</v>
      </c>
      <c r="F59" s="24">
        <v>920500</v>
      </c>
      <c r="G59" s="24">
        <v>5523000</v>
      </c>
    </row>
    <row r="60" spans="1:7" ht="18.75" thickBot="1" x14ac:dyDescent="0.3">
      <c r="A60" s="9">
        <v>45017</v>
      </c>
      <c r="B60" s="24">
        <v>2432173.42</v>
      </c>
      <c r="C60" s="24">
        <v>2170326.58</v>
      </c>
      <c r="D60" s="24">
        <v>4602500</v>
      </c>
      <c r="E60" s="40">
        <v>20</v>
      </c>
      <c r="F60" s="24">
        <v>920500</v>
      </c>
      <c r="G60" s="24">
        <v>5523000</v>
      </c>
    </row>
    <row r="61" spans="1:7" ht="18.75" thickBot="1" x14ac:dyDescent="0.3">
      <c r="A61" s="9">
        <v>45047</v>
      </c>
      <c r="B61" s="24">
        <v>2432173.42</v>
      </c>
      <c r="C61" s="24">
        <v>2170326.58</v>
      </c>
      <c r="D61" s="24">
        <v>4602500</v>
      </c>
      <c r="E61" s="40">
        <v>20</v>
      </c>
      <c r="F61" s="24">
        <v>920500</v>
      </c>
      <c r="G61" s="24">
        <v>5523000</v>
      </c>
    </row>
    <row r="62" spans="1:7" ht="18.75" thickBot="1" x14ac:dyDescent="0.3">
      <c r="A62" s="9">
        <v>45078</v>
      </c>
      <c r="B62" s="24">
        <v>2432173.42</v>
      </c>
      <c r="C62" s="24">
        <v>2170326.58</v>
      </c>
      <c r="D62" s="24">
        <v>4602500</v>
      </c>
      <c r="E62" s="40">
        <v>20</v>
      </c>
      <c r="F62" s="24">
        <v>920500</v>
      </c>
      <c r="G62" s="24">
        <v>5523000</v>
      </c>
    </row>
    <row r="63" spans="1:7" ht="18.75" thickBot="1" x14ac:dyDescent="0.3">
      <c r="A63" s="9">
        <v>45108</v>
      </c>
      <c r="B63" s="24">
        <v>2432173.42</v>
      </c>
      <c r="C63" s="24">
        <v>2170326.58</v>
      </c>
      <c r="D63" s="24">
        <v>4602500</v>
      </c>
      <c r="E63" s="40">
        <v>20</v>
      </c>
      <c r="F63" s="24">
        <v>920500</v>
      </c>
      <c r="G63" s="24">
        <v>5523000</v>
      </c>
    </row>
    <row r="64" spans="1:7" ht="18.75" thickBot="1" x14ac:dyDescent="0.3">
      <c r="A64" s="9">
        <v>45139</v>
      </c>
      <c r="B64" s="24">
        <v>2432173.42</v>
      </c>
      <c r="C64" s="24">
        <v>2170326.58</v>
      </c>
      <c r="D64" s="24">
        <v>4602500</v>
      </c>
      <c r="E64" s="40">
        <v>20</v>
      </c>
      <c r="F64" s="24">
        <v>920500</v>
      </c>
      <c r="G64" s="24">
        <v>5523000</v>
      </c>
    </row>
    <row r="65" spans="1:7" ht="18.75" thickBot="1" x14ac:dyDescent="0.3">
      <c r="A65" s="9">
        <v>45170</v>
      </c>
      <c r="B65" s="24">
        <v>2432173.42</v>
      </c>
      <c r="C65" s="24">
        <v>2170326.58</v>
      </c>
      <c r="D65" s="24">
        <v>4602500</v>
      </c>
      <c r="E65" s="40">
        <v>20</v>
      </c>
      <c r="F65" s="24">
        <v>920500</v>
      </c>
      <c r="G65" s="24">
        <v>5523000</v>
      </c>
    </row>
    <row r="66" spans="1:7" ht="18.75" thickBot="1" x14ac:dyDescent="0.3">
      <c r="A66" s="9">
        <v>45200</v>
      </c>
      <c r="B66" s="24">
        <v>2432173.42</v>
      </c>
      <c r="C66" s="24">
        <v>2170326.58</v>
      </c>
      <c r="D66" s="24">
        <v>4602500</v>
      </c>
      <c r="E66" s="40">
        <v>20</v>
      </c>
      <c r="F66" s="24">
        <v>920500</v>
      </c>
      <c r="G66" s="24">
        <v>5523000</v>
      </c>
    </row>
    <row r="67" spans="1:7" ht="18.75" thickBot="1" x14ac:dyDescent="0.3">
      <c r="A67" s="9">
        <v>45231</v>
      </c>
      <c r="B67" s="24">
        <v>2432173.42</v>
      </c>
      <c r="C67" s="24">
        <v>2170326.58</v>
      </c>
      <c r="D67" s="24">
        <v>4602500</v>
      </c>
      <c r="E67" s="40">
        <v>20</v>
      </c>
      <c r="F67" s="24">
        <v>920500</v>
      </c>
      <c r="G67" s="24">
        <v>5523000</v>
      </c>
    </row>
    <row r="68" spans="1:7" ht="18.75" thickBot="1" x14ac:dyDescent="0.3">
      <c r="A68" s="9">
        <v>45261</v>
      </c>
      <c r="B68" s="24">
        <v>2432173.42</v>
      </c>
      <c r="C68" s="24">
        <v>2170326.58</v>
      </c>
      <c r="D68" s="24">
        <v>4602500</v>
      </c>
      <c r="E68" s="40">
        <v>20</v>
      </c>
      <c r="F68" s="24">
        <v>920500</v>
      </c>
      <c r="G68" s="24">
        <v>5523000</v>
      </c>
    </row>
    <row r="69" spans="1:7" ht="18.75" thickBot="1" x14ac:dyDescent="0.3">
      <c r="A69" s="3"/>
      <c r="B69" s="19">
        <v>29186081.039999999</v>
      </c>
      <c r="C69" s="19">
        <v>26043918.960000001</v>
      </c>
      <c r="D69" s="19">
        <v>55230000</v>
      </c>
      <c r="E69" s="35">
        <v>20</v>
      </c>
      <c r="F69" s="19">
        <v>11046000</v>
      </c>
      <c r="G69" s="19">
        <v>66276000</v>
      </c>
    </row>
    <row r="70" spans="1:7" ht="18.75" thickBot="1" x14ac:dyDescent="0.3">
      <c r="A70" s="10">
        <v>45292</v>
      </c>
      <c r="B70" s="25">
        <v>2432173.42</v>
      </c>
      <c r="C70" s="25">
        <v>2365326.58</v>
      </c>
      <c r="D70" s="25">
        <v>4797500</v>
      </c>
      <c r="E70" s="41">
        <v>20</v>
      </c>
      <c r="F70" s="25">
        <v>959500</v>
      </c>
      <c r="G70" s="25">
        <v>5757000</v>
      </c>
    </row>
    <row r="71" spans="1:7" ht="18.75" thickBot="1" x14ac:dyDescent="0.3">
      <c r="A71" s="10">
        <v>45323</v>
      </c>
      <c r="B71" s="25">
        <v>2432173.42</v>
      </c>
      <c r="C71" s="25">
        <v>2365326.58</v>
      </c>
      <c r="D71" s="25">
        <v>4797500</v>
      </c>
      <c r="E71" s="41">
        <v>20</v>
      </c>
      <c r="F71" s="25">
        <v>959500</v>
      </c>
      <c r="G71" s="25">
        <v>5757000</v>
      </c>
    </row>
    <row r="72" spans="1:7" ht="18.75" thickBot="1" x14ac:dyDescent="0.3">
      <c r="A72" s="10">
        <v>45352</v>
      </c>
      <c r="B72" s="25">
        <v>2432173.42</v>
      </c>
      <c r="C72" s="25">
        <v>2365326.58</v>
      </c>
      <c r="D72" s="25">
        <v>4797500</v>
      </c>
      <c r="E72" s="41">
        <v>20</v>
      </c>
      <c r="F72" s="25">
        <v>959500</v>
      </c>
      <c r="G72" s="25">
        <v>5757000</v>
      </c>
    </row>
    <row r="73" spans="1:7" ht="18.75" thickBot="1" x14ac:dyDescent="0.3">
      <c r="A73" s="10">
        <v>45383</v>
      </c>
      <c r="B73" s="25">
        <v>2432173.42</v>
      </c>
      <c r="C73" s="25">
        <v>2365326.58</v>
      </c>
      <c r="D73" s="25">
        <v>4797500</v>
      </c>
      <c r="E73" s="41">
        <v>20</v>
      </c>
      <c r="F73" s="25">
        <v>959500</v>
      </c>
      <c r="G73" s="25">
        <v>5757000</v>
      </c>
    </row>
    <row r="74" spans="1:7" ht="18.75" thickBot="1" x14ac:dyDescent="0.3">
      <c r="A74" s="10">
        <v>45413</v>
      </c>
      <c r="B74" s="25">
        <v>2432173.42</v>
      </c>
      <c r="C74" s="25">
        <v>2365326.58</v>
      </c>
      <c r="D74" s="25">
        <v>4797500</v>
      </c>
      <c r="E74" s="41">
        <v>20</v>
      </c>
      <c r="F74" s="25">
        <v>959500</v>
      </c>
      <c r="G74" s="25">
        <v>5757000</v>
      </c>
    </row>
    <row r="75" spans="1:7" ht="18.75" thickBot="1" x14ac:dyDescent="0.3">
      <c r="A75" s="10">
        <v>45444</v>
      </c>
      <c r="B75" s="25">
        <v>2432173.42</v>
      </c>
      <c r="C75" s="25">
        <v>2365326.58</v>
      </c>
      <c r="D75" s="25">
        <v>4797500</v>
      </c>
      <c r="E75" s="41">
        <v>20</v>
      </c>
      <c r="F75" s="25">
        <v>959500</v>
      </c>
      <c r="G75" s="25">
        <v>5757000</v>
      </c>
    </row>
    <row r="76" spans="1:7" ht="18.75" thickBot="1" x14ac:dyDescent="0.3">
      <c r="A76" s="10">
        <v>45474</v>
      </c>
      <c r="B76" s="25">
        <v>2432173.42</v>
      </c>
      <c r="C76" s="25">
        <v>2365326.58</v>
      </c>
      <c r="D76" s="25">
        <v>4797500</v>
      </c>
      <c r="E76" s="41">
        <v>20</v>
      </c>
      <c r="F76" s="25">
        <v>959500</v>
      </c>
      <c r="G76" s="25">
        <v>5757000</v>
      </c>
    </row>
    <row r="77" spans="1:7" ht="18.75" thickBot="1" x14ac:dyDescent="0.3">
      <c r="A77" s="10">
        <v>45505</v>
      </c>
      <c r="B77" s="25">
        <v>2432173.42</v>
      </c>
      <c r="C77" s="25">
        <v>2365326.58</v>
      </c>
      <c r="D77" s="25">
        <v>4797500</v>
      </c>
      <c r="E77" s="41">
        <v>20</v>
      </c>
      <c r="F77" s="25">
        <v>959500</v>
      </c>
      <c r="G77" s="25">
        <v>5757000</v>
      </c>
    </row>
    <row r="78" spans="1:7" ht="18.75" thickBot="1" x14ac:dyDescent="0.3">
      <c r="A78" s="10">
        <v>45536</v>
      </c>
      <c r="B78" s="25">
        <v>2432173.42</v>
      </c>
      <c r="C78" s="25">
        <v>2365326.58</v>
      </c>
      <c r="D78" s="25">
        <v>4797500</v>
      </c>
      <c r="E78" s="41">
        <v>20</v>
      </c>
      <c r="F78" s="25">
        <v>959500</v>
      </c>
      <c r="G78" s="25">
        <v>5757000</v>
      </c>
    </row>
    <row r="79" spans="1:7" ht="18.75" thickBot="1" x14ac:dyDescent="0.3">
      <c r="A79" s="10">
        <v>45566</v>
      </c>
      <c r="B79" s="25">
        <v>2432173.42</v>
      </c>
      <c r="C79" s="25">
        <v>2365326.58</v>
      </c>
      <c r="D79" s="25">
        <v>4797500</v>
      </c>
      <c r="E79" s="41">
        <v>20</v>
      </c>
      <c r="F79" s="25">
        <v>959500</v>
      </c>
      <c r="G79" s="25">
        <v>5757000</v>
      </c>
    </row>
    <row r="80" spans="1:7" ht="18.75" thickBot="1" x14ac:dyDescent="0.3">
      <c r="A80" s="10">
        <v>45597</v>
      </c>
      <c r="B80" s="25">
        <v>2432173.42</v>
      </c>
      <c r="C80" s="25">
        <v>2365326.58</v>
      </c>
      <c r="D80" s="25">
        <v>4797500</v>
      </c>
      <c r="E80" s="41">
        <v>20</v>
      </c>
      <c r="F80" s="25">
        <v>959500</v>
      </c>
      <c r="G80" s="25">
        <v>5757000</v>
      </c>
    </row>
    <row r="81" spans="1:7" ht="18.75" thickBot="1" x14ac:dyDescent="0.3">
      <c r="A81" s="10">
        <v>45627</v>
      </c>
      <c r="B81" s="25">
        <v>2432173.42</v>
      </c>
      <c r="C81" s="25">
        <v>2365326.58</v>
      </c>
      <c r="D81" s="25">
        <v>4797500</v>
      </c>
      <c r="E81" s="41">
        <v>20</v>
      </c>
      <c r="F81" s="25">
        <v>959500</v>
      </c>
      <c r="G81" s="25">
        <v>5757000</v>
      </c>
    </row>
    <row r="82" spans="1:7" ht="18.75" thickBot="1" x14ac:dyDescent="0.3">
      <c r="A82" s="5"/>
      <c r="B82" s="19">
        <v>29186081.039999999</v>
      </c>
      <c r="C82" s="19">
        <v>28383918.960000001</v>
      </c>
      <c r="D82" s="19">
        <v>57570000</v>
      </c>
      <c r="E82" s="35">
        <v>20</v>
      </c>
      <c r="F82" s="19">
        <v>11514000</v>
      </c>
      <c r="G82" s="19">
        <v>69084000</v>
      </c>
    </row>
    <row r="83" spans="1:7" ht="18.75" thickBot="1" x14ac:dyDescent="0.3">
      <c r="A83" s="2">
        <v>45658</v>
      </c>
      <c r="B83" s="18">
        <v>2432173.42</v>
      </c>
      <c r="C83" s="18">
        <v>2566159.91</v>
      </c>
      <c r="D83" s="18">
        <v>4998333.33</v>
      </c>
      <c r="E83" s="34">
        <v>20</v>
      </c>
      <c r="F83" s="18">
        <v>999666.67</v>
      </c>
      <c r="G83" s="18">
        <v>5998000</v>
      </c>
    </row>
    <row r="84" spans="1:7" ht="18.75" thickBot="1" x14ac:dyDescent="0.3">
      <c r="A84" s="2">
        <v>45689</v>
      </c>
      <c r="B84" s="18">
        <v>2432173.42</v>
      </c>
      <c r="C84" s="18">
        <v>2566159.91</v>
      </c>
      <c r="D84" s="18">
        <v>4998333.33</v>
      </c>
      <c r="E84" s="34">
        <v>20</v>
      </c>
      <c r="F84" s="18">
        <v>999666.67</v>
      </c>
      <c r="G84" s="18">
        <v>5998000</v>
      </c>
    </row>
    <row r="85" spans="1:7" ht="18.75" thickBot="1" x14ac:dyDescent="0.3">
      <c r="A85" s="2">
        <v>45717</v>
      </c>
      <c r="B85" s="18">
        <v>2432173.42</v>
      </c>
      <c r="C85" s="18">
        <v>2566159.91</v>
      </c>
      <c r="D85" s="18">
        <v>4998333.33</v>
      </c>
      <c r="E85" s="34">
        <v>20</v>
      </c>
      <c r="F85" s="18">
        <v>999666.67</v>
      </c>
      <c r="G85" s="18">
        <v>5998000</v>
      </c>
    </row>
    <row r="86" spans="1:7" ht="18.75" thickBot="1" x14ac:dyDescent="0.3">
      <c r="A86" s="2">
        <v>45748</v>
      </c>
      <c r="B86" s="18">
        <v>2432173.42</v>
      </c>
      <c r="C86" s="18">
        <v>2566159.91</v>
      </c>
      <c r="D86" s="18">
        <v>4998333.33</v>
      </c>
      <c r="E86" s="34">
        <v>20</v>
      </c>
      <c r="F86" s="18">
        <v>999666.67</v>
      </c>
      <c r="G86" s="18">
        <v>5998000</v>
      </c>
    </row>
    <row r="87" spans="1:7" ht="18.75" thickBot="1" x14ac:dyDescent="0.3">
      <c r="A87" s="2">
        <v>45778</v>
      </c>
      <c r="B87" s="18">
        <v>2432173.42</v>
      </c>
      <c r="C87" s="18">
        <v>2566159.91</v>
      </c>
      <c r="D87" s="18">
        <v>4998333.33</v>
      </c>
      <c r="E87" s="34">
        <v>20</v>
      </c>
      <c r="F87" s="18">
        <v>999666.67</v>
      </c>
      <c r="G87" s="18">
        <v>5998000</v>
      </c>
    </row>
    <row r="88" spans="1:7" ht="18.75" thickBot="1" x14ac:dyDescent="0.3">
      <c r="A88" s="2">
        <v>45809</v>
      </c>
      <c r="B88" s="18">
        <v>2432173.42</v>
      </c>
      <c r="C88" s="18">
        <v>2566159.91</v>
      </c>
      <c r="D88" s="18">
        <v>4998333.33</v>
      </c>
      <c r="E88" s="34">
        <v>20</v>
      </c>
      <c r="F88" s="18">
        <v>999666.67</v>
      </c>
      <c r="G88" s="18">
        <v>5998000</v>
      </c>
    </row>
    <row r="89" spans="1:7" ht="18.75" thickBot="1" x14ac:dyDescent="0.3">
      <c r="A89" s="2">
        <v>45839</v>
      </c>
      <c r="B89" s="18">
        <v>2432173.42</v>
      </c>
      <c r="C89" s="18">
        <v>2566159.91</v>
      </c>
      <c r="D89" s="18">
        <v>4998333.33</v>
      </c>
      <c r="E89" s="34">
        <v>20</v>
      </c>
      <c r="F89" s="18">
        <v>999666.67</v>
      </c>
      <c r="G89" s="18">
        <v>5998000</v>
      </c>
    </row>
    <row r="90" spans="1:7" ht="18.75" thickBot="1" x14ac:dyDescent="0.3">
      <c r="A90" s="2">
        <v>45870</v>
      </c>
      <c r="B90" s="18">
        <v>2432173.42</v>
      </c>
      <c r="C90" s="18">
        <v>2566159.91</v>
      </c>
      <c r="D90" s="18">
        <v>4998333.33</v>
      </c>
      <c r="E90" s="34">
        <v>20</v>
      </c>
      <c r="F90" s="18">
        <v>999666.67</v>
      </c>
      <c r="G90" s="18">
        <v>5998000</v>
      </c>
    </row>
    <row r="91" spans="1:7" ht="18.75" thickBot="1" x14ac:dyDescent="0.3">
      <c r="A91" s="2">
        <v>45901</v>
      </c>
      <c r="B91" s="18">
        <v>2432173.42</v>
      </c>
      <c r="C91" s="18">
        <v>2566159.91</v>
      </c>
      <c r="D91" s="18">
        <v>4998333.33</v>
      </c>
      <c r="E91" s="34">
        <v>20</v>
      </c>
      <c r="F91" s="18">
        <v>999666.67</v>
      </c>
      <c r="G91" s="18">
        <v>5998000</v>
      </c>
    </row>
    <row r="92" spans="1:7" ht="18.75" thickBot="1" x14ac:dyDescent="0.3">
      <c r="A92" s="2">
        <v>45931</v>
      </c>
      <c r="B92" s="18">
        <v>2432173.42</v>
      </c>
      <c r="C92" s="18">
        <v>2566159.91</v>
      </c>
      <c r="D92" s="18">
        <v>4998333.33</v>
      </c>
      <c r="E92" s="34">
        <v>20</v>
      </c>
      <c r="F92" s="18">
        <v>999666.67</v>
      </c>
      <c r="G92" s="18">
        <v>5998000</v>
      </c>
    </row>
    <row r="93" spans="1:7" ht="18.75" thickBot="1" x14ac:dyDescent="0.3">
      <c r="A93" s="2">
        <v>45962</v>
      </c>
      <c r="B93" s="18">
        <v>2432173.42</v>
      </c>
      <c r="C93" s="18">
        <v>2566159.91</v>
      </c>
      <c r="D93" s="18">
        <v>4998333.33</v>
      </c>
      <c r="E93" s="34">
        <v>20</v>
      </c>
      <c r="F93" s="18">
        <v>999666.67</v>
      </c>
      <c r="G93" s="18">
        <v>5998000</v>
      </c>
    </row>
    <row r="94" spans="1:7" ht="18.75" thickBot="1" x14ac:dyDescent="0.3">
      <c r="A94" s="2">
        <v>45992</v>
      </c>
      <c r="B94" s="18">
        <v>2432173.42</v>
      </c>
      <c r="C94" s="18">
        <v>2566159.91</v>
      </c>
      <c r="D94" s="18">
        <v>4998333.33</v>
      </c>
      <c r="E94" s="34">
        <v>20</v>
      </c>
      <c r="F94" s="18">
        <v>999666.67</v>
      </c>
      <c r="G94" s="18">
        <v>5998000</v>
      </c>
    </row>
    <row r="95" spans="1:7" ht="18.75" thickBot="1" x14ac:dyDescent="0.3">
      <c r="A95" s="3"/>
      <c r="B95" s="19">
        <v>29186081.039999999</v>
      </c>
      <c r="C95" s="19">
        <v>30793918.920000002</v>
      </c>
      <c r="D95" s="19">
        <v>59979999.960000001</v>
      </c>
      <c r="E95" s="35">
        <v>20</v>
      </c>
      <c r="F95" s="19">
        <v>11996000.039999999</v>
      </c>
      <c r="G95" s="19">
        <v>71976000</v>
      </c>
    </row>
    <row r="96" spans="1:7" ht="18.75" thickBot="1" x14ac:dyDescent="0.3">
      <c r="A96" s="11">
        <v>46023</v>
      </c>
      <c r="B96" s="26">
        <v>2432173.42</v>
      </c>
      <c r="C96" s="26">
        <v>2772826.58</v>
      </c>
      <c r="D96" s="26">
        <v>5205000</v>
      </c>
      <c r="E96" s="42">
        <v>20</v>
      </c>
      <c r="F96" s="26">
        <v>1041000</v>
      </c>
      <c r="G96" s="26">
        <v>6246000</v>
      </c>
    </row>
    <row r="97" spans="1:7" ht="18.75" thickBot="1" x14ac:dyDescent="0.3">
      <c r="A97" s="11">
        <v>46054</v>
      </c>
      <c r="B97" s="26">
        <v>2432173.42</v>
      </c>
      <c r="C97" s="26">
        <v>2772826.58</v>
      </c>
      <c r="D97" s="26">
        <v>5205000</v>
      </c>
      <c r="E97" s="42">
        <v>20</v>
      </c>
      <c r="F97" s="26">
        <v>1041000</v>
      </c>
      <c r="G97" s="26">
        <v>6246000</v>
      </c>
    </row>
    <row r="98" spans="1:7" ht="18.75" thickBot="1" x14ac:dyDescent="0.3">
      <c r="A98" s="11">
        <v>46082</v>
      </c>
      <c r="B98" s="26">
        <v>2432173.42</v>
      </c>
      <c r="C98" s="26">
        <v>2772826.58</v>
      </c>
      <c r="D98" s="26">
        <v>5205000</v>
      </c>
      <c r="E98" s="42">
        <v>20</v>
      </c>
      <c r="F98" s="26">
        <v>1041000</v>
      </c>
      <c r="G98" s="26">
        <v>6246000</v>
      </c>
    </row>
    <row r="99" spans="1:7" ht="18.75" thickBot="1" x14ac:dyDescent="0.3">
      <c r="A99" s="11">
        <v>46113</v>
      </c>
      <c r="B99" s="26">
        <v>2432173.42</v>
      </c>
      <c r="C99" s="26">
        <v>2772826.58</v>
      </c>
      <c r="D99" s="26">
        <v>5205000</v>
      </c>
      <c r="E99" s="42">
        <v>20</v>
      </c>
      <c r="F99" s="26">
        <v>1041000</v>
      </c>
      <c r="G99" s="26">
        <v>6246000</v>
      </c>
    </row>
    <row r="100" spans="1:7" ht="18.75" thickBot="1" x14ac:dyDescent="0.3">
      <c r="A100" s="11">
        <v>46143</v>
      </c>
      <c r="B100" s="26">
        <v>2432173.42</v>
      </c>
      <c r="C100" s="26">
        <v>2772826.58</v>
      </c>
      <c r="D100" s="26">
        <v>5205000</v>
      </c>
      <c r="E100" s="42">
        <v>20</v>
      </c>
      <c r="F100" s="26">
        <v>1041000</v>
      </c>
      <c r="G100" s="26">
        <v>6246000</v>
      </c>
    </row>
    <row r="101" spans="1:7" ht="18.75" thickBot="1" x14ac:dyDescent="0.3">
      <c r="A101" s="11">
        <v>46174</v>
      </c>
      <c r="B101" s="26">
        <v>2432173.42</v>
      </c>
      <c r="C101" s="26">
        <v>2772826.58</v>
      </c>
      <c r="D101" s="26">
        <v>5205000</v>
      </c>
      <c r="E101" s="42">
        <v>20</v>
      </c>
      <c r="F101" s="26">
        <v>1041000</v>
      </c>
      <c r="G101" s="26">
        <v>6246000</v>
      </c>
    </row>
    <row r="102" spans="1:7" ht="18.75" thickBot="1" x14ac:dyDescent="0.3">
      <c r="A102" s="11">
        <v>46204</v>
      </c>
      <c r="B102" s="26">
        <v>2432173.42</v>
      </c>
      <c r="C102" s="26">
        <v>2772826.58</v>
      </c>
      <c r="D102" s="26">
        <v>5205000</v>
      </c>
      <c r="E102" s="42">
        <v>20</v>
      </c>
      <c r="F102" s="26">
        <v>1041000</v>
      </c>
      <c r="G102" s="26">
        <v>6246000</v>
      </c>
    </row>
    <row r="103" spans="1:7" ht="18.75" thickBot="1" x14ac:dyDescent="0.3">
      <c r="A103" s="11">
        <v>46235</v>
      </c>
      <c r="B103" s="26">
        <v>2432173.42</v>
      </c>
      <c r="C103" s="26">
        <v>2772826.58</v>
      </c>
      <c r="D103" s="26">
        <v>5205000</v>
      </c>
      <c r="E103" s="42">
        <v>20</v>
      </c>
      <c r="F103" s="26">
        <v>1041000</v>
      </c>
      <c r="G103" s="26">
        <v>6246000</v>
      </c>
    </row>
    <row r="104" spans="1:7" ht="18.75" thickBot="1" x14ac:dyDescent="0.3">
      <c r="A104" s="11">
        <v>46266</v>
      </c>
      <c r="B104" s="26">
        <v>2432173.42</v>
      </c>
      <c r="C104" s="26">
        <v>2772826.58</v>
      </c>
      <c r="D104" s="26">
        <v>5205000</v>
      </c>
      <c r="E104" s="42">
        <v>20</v>
      </c>
      <c r="F104" s="26">
        <v>1041000</v>
      </c>
      <c r="G104" s="26">
        <v>6246000</v>
      </c>
    </row>
    <row r="105" spans="1:7" ht="18.75" thickBot="1" x14ac:dyDescent="0.3">
      <c r="A105" s="11">
        <v>46296</v>
      </c>
      <c r="B105" s="26">
        <v>2432173.42</v>
      </c>
      <c r="C105" s="26">
        <v>2772826.58</v>
      </c>
      <c r="D105" s="26">
        <v>5205000</v>
      </c>
      <c r="E105" s="42">
        <v>20</v>
      </c>
      <c r="F105" s="26">
        <v>1041000</v>
      </c>
      <c r="G105" s="26">
        <v>6246000</v>
      </c>
    </row>
    <row r="106" spans="1:7" ht="18.75" thickBot="1" x14ac:dyDescent="0.3">
      <c r="A106" s="11">
        <v>46327</v>
      </c>
      <c r="B106" s="26">
        <v>2432173.42</v>
      </c>
      <c r="C106" s="26">
        <v>2772826.58</v>
      </c>
      <c r="D106" s="26">
        <v>5205000</v>
      </c>
      <c r="E106" s="42">
        <v>20</v>
      </c>
      <c r="F106" s="26">
        <v>1041000</v>
      </c>
      <c r="G106" s="26">
        <v>6246000</v>
      </c>
    </row>
    <row r="107" spans="1:7" ht="18.75" thickBot="1" x14ac:dyDescent="0.3">
      <c r="A107" s="11">
        <v>46357</v>
      </c>
      <c r="B107" s="26">
        <v>2432173.42</v>
      </c>
      <c r="C107" s="26">
        <v>2772826.58</v>
      </c>
      <c r="D107" s="26">
        <v>5205000</v>
      </c>
      <c r="E107" s="42">
        <v>20</v>
      </c>
      <c r="F107" s="26">
        <v>1041000</v>
      </c>
      <c r="G107" s="26">
        <v>6246000</v>
      </c>
    </row>
    <row r="108" spans="1:7" ht="18.75" thickBot="1" x14ac:dyDescent="0.3">
      <c r="A108" s="3"/>
      <c r="B108" s="19">
        <v>29186081.039999999</v>
      </c>
      <c r="C108" s="19">
        <v>33273918.960000001</v>
      </c>
      <c r="D108" s="19">
        <v>62460000</v>
      </c>
      <c r="E108" s="35">
        <v>20</v>
      </c>
      <c r="F108" s="19">
        <v>12492000</v>
      </c>
      <c r="G108" s="19">
        <v>74952000</v>
      </c>
    </row>
    <row r="109" spans="1:7" ht="18.75" thickBot="1" x14ac:dyDescent="0.3">
      <c r="A109" s="12">
        <v>46388</v>
      </c>
      <c r="B109" s="27">
        <v>2432173.42</v>
      </c>
      <c r="C109" s="27">
        <v>2984493.25</v>
      </c>
      <c r="D109" s="27">
        <v>5416666.6699999999</v>
      </c>
      <c r="E109" s="43">
        <v>20</v>
      </c>
      <c r="F109" s="27">
        <v>1083333.33</v>
      </c>
      <c r="G109" s="27">
        <v>6500000</v>
      </c>
    </row>
    <row r="110" spans="1:7" ht="18.75" thickBot="1" x14ac:dyDescent="0.3">
      <c r="A110" s="12">
        <v>46419</v>
      </c>
      <c r="B110" s="27">
        <v>2432173.42</v>
      </c>
      <c r="C110" s="27">
        <v>2984493.25</v>
      </c>
      <c r="D110" s="27">
        <v>5416666.6699999999</v>
      </c>
      <c r="E110" s="43">
        <v>20</v>
      </c>
      <c r="F110" s="27">
        <v>1083333.33</v>
      </c>
      <c r="G110" s="27">
        <v>6500000</v>
      </c>
    </row>
    <row r="111" spans="1:7" ht="18.75" thickBot="1" x14ac:dyDescent="0.3">
      <c r="A111" s="12">
        <v>46447</v>
      </c>
      <c r="B111" s="27">
        <v>2432173.42</v>
      </c>
      <c r="C111" s="27">
        <v>2984493.25</v>
      </c>
      <c r="D111" s="27">
        <v>5416666.6699999999</v>
      </c>
      <c r="E111" s="43">
        <v>20</v>
      </c>
      <c r="F111" s="27">
        <v>1083333.33</v>
      </c>
      <c r="G111" s="27">
        <v>6500000</v>
      </c>
    </row>
    <row r="112" spans="1:7" ht="18.75" thickBot="1" x14ac:dyDescent="0.3">
      <c r="A112" s="12">
        <v>46478</v>
      </c>
      <c r="B112" s="27">
        <v>2432173.42</v>
      </c>
      <c r="C112" s="27">
        <v>2984493.25</v>
      </c>
      <c r="D112" s="27">
        <v>5416666.6699999999</v>
      </c>
      <c r="E112" s="43">
        <v>20</v>
      </c>
      <c r="F112" s="27">
        <v>1083333.33</v>
      </c>
      <c r="G112" s="27">
        <v>6500000</v>
      </c>
    </row>
    <row r="113" spans="1:7" ht="18.75" thickBot="1" x14ac:dyDescent="0.3">
      <c r="A113" s="12">
        <v>46508</v>
      </c>
      <c r="B113" s="27">
        <v>2432173.42</v>
      </c>
      <c r="C113" s="27">
        <v>2984493.25</v>
      </c>
      <c r="D113" s="27">
        <v>5416666.6699999999</v>
      </c>
      <c r="E113" s="43">
        <v>20</v>
      </c>
      <c r="F113" s="27">
        <v>1083333.33</v>
      </c>
      <c r="G113" s="27">
        <v>6500000</v>
      </c>
    </row>
    <row r="114" spans="1:7" ht="18.75" thickBot="1" x14ac:dyDescent="0.3">
      <c r="A114" s="12">
        <v>46539</v>
      </c>
      <c r="B114" s="27">
        <v>2432173.42</v>
      </c>
      <c r="C114" s="27">
        <v>2984493.25</v>
      </c>
      <c r="D114" s="27">
        <v>5416666.6699999999</v>
      </c>
      <c r="E114" s="43">
        <v>20</v>
      </c>
      <c r="F114" s="27">
        <v>1083333.33</v>
      </c>
      <c r="G114" s="27">
        <v>6500000</v>
      </c>
    </row>
    <row r="115" spans="1:7" ht="18.75" thickBot="1" x14ac:dyDescent="0.3">
      <c r="A115" s="12">
        <v>46569</v>
      </c>
      <c r="B115" s="27">
        <v>2432173.42</v>
      </c>
      <c r="C115" s="27">
        <v>2984493.25</v>
      </c>
      <c r="D115" s="27">
        <v>5416666.6699999999</v>
      </c>
      <c r="E115" s="43">
        <v>20</v>
      </c>
      <c r="F115" s="27">
        <v>1083333.33</v>
      </c>
      <c r="G115" s="27">
        <v>6500000</v>
      </c>
    </row>
    <row r="116" spans="1:7" ht="18.75" thickBot="1" x14ac:dyDescent="0.3">
      <c r="A116" s="12">
        <v>46600</v>
      </c>
      <c r="B116" s="27">
        <v>2432173.42</v>
      </c>
      <c r="C116" s="27">
        <v>2984493.25</v>
      </c>
      <c r="D116" s="27">
        <v>5416666.6699999999</v>
      </c>
      <c r="E116" s="43">
        <v>20</v>
      </c>
      <c r="F116" s="27">
        <v>1083333.33</v>
      </c>
      <c r="G116" s="27">
        <v>6500000</v>
      </c>
    </row>
    <row r="117" spans="1:7" ht="18.75" thickBot="1" x14ac:dyDescent="0.3">
      <c r="A117" s="12">
        <v>46631</v>
      </c>
      <c r="B117" s="27">
        <v>2432173.42</v>
      </c>
      <c r="C117" s="27">
        <v>2984493.25</v>
      </c>
      <c r="D117" s="27">
        <v>5416666.6699999999</v>
      </c>
      <c r="E117" s="43">
        <v>20</v>
      </c>
      <c r="F117" s="27">
        <v>1083333.33</v>
      </c>
      <c r="G117" s="27">
        <v>6500000</v>
      </c>
    </row>
    <row r="118" spans="1:7" ht="18.75" thickBot="1" x14ac:dyDescent="0.3">
      <c r="A118" s="12">
        <v>46661</v>
      </c>
      <c r="B118" s="27">
        <v>2432173.42</v>
      </c>
      <c r="C118" s="27">
        <v>2984493.25</v>
      </c>
      <c r="D118" s="27">
        <v>5416666.6699999999</v>
      </c>
      <c r="E118" s="43">
        <v>20</v>
      </c>
      <c r="F118" s="27">
        <v>1083333.33</v>
      </c>
      <c r="G118" s="27">
        <v>6500000</v>
      </c>
    </row>
    <row r="119" spans="1:7" ht="18.75" thickBot="1" x14ac:dyDescent="0.3">
      <c r="A119" s="12">
        <v>46692</v>
      </c>
      <c r="B119" s="27">
        <v>2432173.42</v>
      </c>
      <c r="C119" s="27">
        <v>2984493.25</v>
      </c>
      <c r="D119" s="27">
        <v>5416666.6699999999</v>
      </c>
      <c r="E119" s="43">
        <v>20</v>
      </c>
      <c r="F119" s="27">
        <v>1083333.33</v>
      </c>
      <c r="G119" s="27">
        <v>6500000</v>
      </c>
    </row>
    <row r="120" spans="1:7" ht="18.75" thickBot="1" x14ac:dyDescent="0.3">
      <c r="A120" s="12">
        <v>46722</v>
      </c>
      <c r="B120" s="27">
        <v>2432173.42</v>
      </c>
      <c r="C120" s="27">
        <v>2984493.25</v>
      </c>
      <c r="D120" s="27">
        <v>5416666.6699999999</v>
      </c>
      <c r="E120" s="43">
        <v>20</v>
      </c>
      <c r="F120" s="27">
        <v>1083333.33</v>
      </c>
      <c r="G120" s="27">
        <v>6500000</v>
      </c>
    </row>
    <row r="121" spans="1:7" ht="18.75" thickBot="1" x14ac:dyDescent="0.3">
      <c r="A121" s="3"/>
      <c r="B121" s="19">
        <v>29186081.039999999</v>
      </c>
      <c r="C121" s="19">
        <v>35813919</v>
      </c>
      <c r="D121" s="19">
        <v>65000000.039999999</v>
      </c>
      <c r="E121" s="35">
        <v>20</v>
      </c>
      <c r="F121" s="19">
        <v>12999999.960000001</v>
      </c>
      <c r="G121" s="19">
        <v>78000000</v>
      </c>
    </row>
    <row r="122" spans="1:7" ht="18.75" thickBot="1" x14ac:dyDescent="0.3">
      <c r="A122" s="4">
        <v>46753</v>
      </c>
      <c r="B122" s="20">
        <v>2432173.42</v>
      </c>
      <c r="C122" s="20">
        <v>3201159.91</v>
      </c>
      <c r="D122" s="20">
        <v>5633333.3300000001</v>
      </c>
      <c r="E122" s="36">
        <v>20</v>
      </c>
      <c r="F122" s="20">
        <v>1126666.67</v>
      </c>
      <c r="G122" s="20">
        <v>6760000</v>
      </c>
    </row>
    <row r="123" spans="1:7" ht="18.75" thickBot="1" x14ac:dyDescent="0.3">
      <c r="A123" s="4">
        <v>46784</v>
      </c>
      <c r="B123" s="20">
        <v>2432173.42</v>
      </c>
      <c r="C123" s="20">
        <v>3201159.91</v>
      </c>
      <c r="D123" s="20">
        <v>5633333.3300000001</v>
      </c>
      <c r="E123" s="36">
        <v>20</v>
      </c>
      <c r="F123" s="20">
        <v>1126666.67</v>
      </c>
      <c r="G123" s="20">
        <v>6760000</v>
      </c>
    </row>
    <row r="124" spans="1:7" ht="18.75" thickBot="1" x14ac:dyDescent="0.3">
      <c r="A124" s="4">
        <v>46813</v>
      </c>
      <c r="B124" s="20">
        <v>2432173.42</v>
      </c>
      <c r="C124" s="20">
        <v>3201159.91</v>
      </c>
      <c r="D124" s="20">
        <v>5633333.3300000001</v>
      </c>
      <c r="E124" s="36">
        <v>20</v>
      </c>
      <c r="F124" s="20">
        <v>1126666.67</v>
      </c>
      <c r="G124" s="20">
        <v>6760000</v>
      </c>
    </row>
    <row r="125" spans="1:7" ht="18.75" thickBot="1" x14ac:dyDescent="0.3">
      <c r="A125" s="4">
        <v>46844</v>
      </c>
      <c r="B125" s="20">
        <v>2432173.42</v>
      </c>
      <c r="C125" s="20">
        <v>3201159.91</v>
      </c>
      <c r="D125" s="20">
        <v>5633333.3300000001</v>
      </c>
      <c r="E125" s="36">
        <v>20</v>
      </c>
      <c r="F125" s="20">
        <v>1126666.67</v>
      </c>
      <c r="G125" s="20">
        <v>6760000</v>
      </c>
    </row>
    <row r="126" spans="1:7" ht="18.75" thickBot="1" x14ac:dyDescent="0.3">
      <c r="A126" s="4">
        <v>46874</v>
      </c>
      <c r="B126" s="20">
        <v>2432173.42</v>
      </c>
      <c r="C126" s="20">
        <v>3201159.91</v>
      </c>
      <c r="D126" s="20">
        <v>5633333.3300000001</v>
      </c>
      <c r="E126" s="36">
        <v>20</v>
      </c>
      <c r="F126" s="20">
        <v>1126666.67</v>
      </c>
      <c r="G126" s="20">
        <v>6760000</v>
      </c>
    </row>
    <row r="127" spans="1:7" ht="18.75" thickBot="1" x14ac:dyDescent="0.3">
      <c r="A127" s="4">
        <v>46905</v>
      </c>
      <c r="B127" s="20">
        <v>2432173.42</v>
      </c>
      <c r="C127" s="20">
        <v>3201159.91</v>
      </c>
      <c r="D127" s="20">
        <v>5633333.3300000001</v>
      </c>
      <c r="E127" s="36">
        <v>20</v>
      </c>
      <c r="F127" s="20">
        <v>1126666.67</v>
      </c>
      <c r="G127" s="20">
        <v>6760000</v>
      </c>
    </row>
    <row r="128" spans="1:7" ht="18.75" thickBot="1" x14ac:dyDescent="0.3">
      <c r="A128" s="4">
        <v>46935</v>
      </c>
      <c r="B128" s="20">
        <v>2432173.42</v>
      </c>
      <c r="C128" s="20">
        <v>3201159.91</v>
      </c>
      <c r="D128" s="20">
        <v>5633333.3300000001</v>
      </c>
      <c r="E128" s="36">
        <v>20</v>
      </c>
      <c r="F128" s="20">
        <v>1126666.67</v>
      </c>
      <c r="G128" s="20">
        <v>6760000</v>
      </c>
    </row>
    <row r="129" spans="1:7" ht="18.75" thickBot="1" x14ac:dyDescent="0.3">
      <c r="A129" s="4">
        <v>46966</v>
      </c>
      <c r="B129" s="20">
        <v>2432173.42</v>
      </c>
      <c r="C129" s="20">
        <v>3201159.91</v>
      </c>
      <c r="D129" s="20">
        <v>5633333.3300000001</v>
      </c>
      <c r="E129" s="36">
        <v>20</v>
      </c>
      <c r="F129" s="20">
        <v>1126666.67</v>
      </c>
      <c r="G129" s="20">
        <v>6760000</v>
      </c>
    </row>
    <row r="130" spans="1:7" ht="18.75" thickBot="1" x14ac:dyDescent="0.3">
      <c r="A130" s="4">
        <v>46997</v>
      </c>
      <c r="B130" s="20">
        <v>2432173.42</v>
      </c>
      <c r="C130" s="20">
        <v>3201159.91</v>
      </c>
      <c r="D130" s="20">
        <v>5633333.3300000001</v>
      </c>
      <c r="E130" s="36">
        <v>20</v>
      </c>
      <c r="F130" s="20">
        <v>1126666.67</v>
      </c>
      <c r="G130" s="20">
        <v>6760000</v>
      </c>
    </row>
    <row r="131" spans="1:7" ht="18.75" thickBot="1" x14ac:dyDescent="0.3">
      <c r="A131" s="4">
        <v>47027</v>
      </c>
      <c r="B131" s="20">
        <v>2432173.42</v>
      </c>
      <c r="C131" s="20">
        <v>3201159.91</v>
      </c>
      <c r="D131" s="20">
        <v>5633333.3300000001</v>
      </c>
      <c r="E131" s="36">
        <v>20</v>
      </c>
      <c r="F131" s="20">
        <v>1126666.67</v>
      </c>
      <c r="G131" s="20">
        <v>6760000</v>
      </c>
    </row>
    <row r="132" spans="1:7" ht="18.75" thickBot="1" x14ac:dyDescent="0.3">
      <c r="A132" s="4">
        <v>47058</v>
      </c>
      <c r="B132" s="20">
        <v>2432173.42</v>
      </c>
      <c r="C132" s="20">
        <v>3201159.91</v>
      </c>
      <c r="D132" s="20">
        <v>5633333.3300000001</v>
      </c>
      <c r="E132" s="36">
        <v>20</v>
      </c>
      <c r="F132" s="20">
        <v>1126666.67</v>
      </c>
      <c r="G132" s="20">
        <v>6760000</v>
      </c>
    </row>
    <row r="133" spans="1:7" ht="18.75" thickBot="1" x14ac:dyDescent="0.3">
      <c r="A133" s="4">
        <v>47088</v>
      </c>
      <c r="B133" s="20">
        <v>2432173.42</v>
      </c>
      <c r="C133" s="20">
        <v>3201159.91</v>
      </c>
      <c r="D133" s="20">
        <v>5633333.3300000001</v>
      </c>
      <c r="E133" s="36">
        <v>20</v>
      </c>
      <c r="F133" s="20">
        <v>1126666.67</v>
      </c>
      <c r="G133" s="20">
        <v>6760000</v>
      </c>
    </row>
    <row r="134" spans="1:7" ht="18.75" thickBot="1" x14ac:dyDescent="0.3">
      <c r="A134" s="3"/>
      <c r="B134" s="19">
        <v>29186081.039999999</v>
      </c>
      <c r="C134" s="19">
        <v>38413918.920000002</v>
      </c>
      <c r="D134" s="19">
        <v>67599999.959999993</v>
      </c>
      <c r="E134" s="35">
        <v>20</v>
      </c>
      <c r="F134" s="19">
        <v>13520000.039999999</v>
      </c>
      <c r="G134" s="19">
        <v>81120000</v>
      </c>
    </row>
    <row r="135" spans="1:7" ht="18.75" thickBot="1" x14ac:dyDescent="0.3">
      <c r="A135" s="13">
        <v>47119</v>
      </c>
      <c r="B135" s="28">
        <v>2432173.42</v>
      </c>
      <c r="C135" s="28">
        <v>3424493.25</v>
      </c>
      <c r="D135" s="28">
        <v>5856666.6699999999</v>
      </c>
      <c r="E135" s="44">
        <v>20</v>
      </c>
      <c r="F135" s="28">
        <v>1171333.33</v>
      </c>
      <c r="G135" s="28">
        <v>7028000</v>
      </c>
    </row>
    <row r="136" spans="1:7" ht="18.75" thickBot="1" x14ac:dyDescent="0.3">
      <c r="A136" s="13">
        <v>47150</v>
      </c>
      <c r="B136" s="28">
        <v>2432173.42</v>
      </c>
      <c r="C136" s="28">
        <v>3424493.25</v>
      </c>
      <c r="D136" s="28">
        <v>5856666.6699999999</v>
      </c>
      <c r="E136" s="44">
        <v>20</v>
      </c>
      <c r="F136" s="28">
        <v>1171333.33</v>
      </c>
      <c r="G136" s="28">
        <v>7028000</v>
      </c>
    </row>
    <row r="137" spans="1:7" ht="18.75" thickBot="1" x14ac:dyDescent="0.3">
      <c r="A137" s="13">
        <v>47178</v>
      </c>
      <c r="B137" s="28">
        <v>2432173.42</v>
      </c>
      <c r="C137" s="28">
        <v>3424493.25</v>
      </c>
      <c r="D137" s="28">
        <v>5856666.6699999999</v>
      </c>
      <c r="E137" s="44">
        <v>20</v>
      </c>
      <c r="F137" s="28">
        <v>1171333.33</v>
      </c>
      <c r="G137" s="28">
        <v>7028000</v>
      </c>
    </row>
    <row r="138" spans="1:7" ht="18.75" thickBot="1" x14ac:dyDescent="0.3">
      <c r="A138" s="13">
        <v>47209</v>
      </c>
      <c r="B138" s="28">
        <v>2432173.42</v>
      </c>
      <c r="C138" s="28">
        <v>3424493.25</v>
      </c>
      <c r="D138" s="28">
        <v>5856666.6699999999</v>
      </c>
      <c r="E138" s="44">
        <v>20</v>
      </c>
      <c r="F138" s="28">
        <v>1171333.33</v>
      </c>
      <c r="G138" s="28">
        <v>7028000</v>
      </c>
    </row>
    <row r="139" spans="1:7" ht="18.75" thickBot="1" x14ac:dyDescent="0.3">
      <c r="A139" s="13">
        <v>47239</v>
      </c>
      <c r="B139" s="28">
        <v>2432173.42</v>
      </c>
      <c r="C139" s="28">
        <v>3424493.25</v>
      </c>
      <c r="D139" s="28">
        <v>5856666.6699999999</v>
      </c>
      <c r="E139" s="44">
        <v>20</v>
      </c>
      <c r="F139" s="28">
        <v>1171333.33</v>
      </c>
      <c r="G139" s="28">
        <v>7028000</v>
      </c>
    </row>
    <row r="140" spans="1:7" ht="18.75" thickBot="1" x14ac:dyDescent="0.3">
      <c r="A140" s="13">
        <v>47270</v>
      </c>
      <c r="B140" s="28">
        <v>2432173.42</v>
      </c>
      <c r="C140" s="28">
        <v>3424493.25</v>
      </c>
      <c r="D140" s="28">
        <v>5856666.6699999999</v>
      </c>
      <c r="E140" s="44">
        <v>20</v>
      </c>
      <c r="F140" s="28">
        <v>1171333.33</v>
      </c>
      <c r="G140" s="28">
        <v>7028000</v>
      </c>
    </row>
    <row r="141" spans="1:7" ht="18.75" thickBot="1" x14ac:dyDescent="0.3">
      <c r="A141" s="13">
        <v>47300</v>
      </c>
      <c r="B141" s="28">
        <v>2432173.42</v>
      </c>
      <c r="C141" s="28">
        <v>3424493.25</v>
      </c>
      <c r="D141" s="28">
        <v>5856666.6699999999</v>
      </c>
      <c r="E141" s="44">
        <v>20</v>
      </c>
      <c r="F141" s="28">
        <v>1171333.33</v>
      </c>
      <c r="G141" s="28">
        <v>7028000</v>
      </c>
    </row>
    <row r="142" spans="1:7" ht="18.75" thickBot="1" x14ac:dyDescent="0.3">
      <c r="A142" s="13">
        <v>47331</v>
      </c>
      <c r="B142" s="28">
        <v>2432173.42</v>
      </c>
      <c r="C142" s="28">
        <v>3424493.25</v>
      </c>
      <c r="D142" s="28">
        <v>5856666.6699999999</v>
      </c>
      <c r="E142" s="44">
        <v>20</v>
      </c>
      <c r="F142" s="28">
        <v>1171333.33</v>
      </c>
      <c r="G142" s="28">
        <v>7028000</v>
      </c>
    </row>
    <row r="143" spans="1:7" ht="18.75" thickBot="1" x14ac:dyDescent="0.3">
      <c r="A143" s="13">
        <v>47362</v>
      </c>
      <c r="B143" s="28">
        <v>2432173.42</v>
      </c>
      <c r="C143" s="28">
        <v>3424493.25</v>
      </c>
      <c r="D143" s="28">
        <v>5856666.6699999999</v>
      </c>
      <c r="E143" s="44">
        <v>20</v>
      </c>
      <c r="F143" s="28">
        <v>1171333.33</v>
      </c>
      <c r="G143" s="28">
        <v>7028000</v>
      </c>
    </row>
    <row r="144" spans="1:7" ht="18.75" thickBot="1" x14ac:dyDescent="0.3">
      <c r="A144" s="13">
        <v>47392</v>
      </c>
      <c r="B144" s="28">
        <v>2432173.42</v>
      </c>
      <c r="C144" s="28">
        <v>3424493.25</v>
      </c>
      <c r="D144" s="28">
        <v>5856666.6699999999</v>
      </c>
      <c r="E144" s="44">
        <v>20</v>
      </c>
      <c r="F144" s="28">
        <v>1171333.33</v>
      </c>
      <c r="G144" s="28">
        <v>7028000</v>
      </c>
    </row>
    <row r="145" spans="1:7" ht="18.75" thickBot="1" x14ac:dyDescent="0.3">
      <c r="A145" s="13">
        <v>47423</v>
      </c>
      <c r="B145" s="28">
        <v>2432173.42</v>
      </c>
      <c r="C145" s="28">
        <v>3424493.25</v>
      </c>
      <c r="D145" s="28">
        <v>5856666.6699999999</v>
      </c>
      <c r="E145" s="44">
        <v>20</v>
      </c>
      <c r="F145" s="28">
        <v>1171333.33</v>
      </c>
      <c r="G145" s="28">
        <v>7028000</v>
      </c>
    </row>
    <row r="146" spans="1:7" ht="18.75" thickBot="1" x14ac:dyDescent="0.3">
      <c r="A146" s="13">
        <v>47453</v>
      </c>
      <c r="B146" s="28">
        <v>2432173.42</v>
      </c>
      <c r="C146" s="28">
        <v>3424493.25</v>
      </c>
      <c r="D146" s="28">
        <v>5856666.6699999999</v>
      </c>
      <c r="E146" s="44">
        <v>20</v>
      </c>
      <c r="F146" s="28">
        <v>1171333.33</v>
      </c>
      <c r="G146" s="28">
        <v>7028000</v>
      </c>
    </row>
    <row r="147" spans="1:7" ht="18.75" thickBot="1" x14ac:dyDescent="0.3">
      <c r="A147" s="3"/>
      <c r="B147" s="19">
        <v>29186081.039999999</v>
      </c>
      <c r="C147" s="19">
        <v>41093919</v>
      </c>
      <c r="D147" s="19">
        <v>70280000.040000007</v>
      </c>
      <c r="E147" s="35">
        <v>20</v>
      </c>
      <c r="F147" s="19">
        <v>14055999.960000001</v>
      </c>
      <c r="G147" s="19">
        <v>84336000</v>
      </c>
    </row>
    <row r="148" spans="1:7" ht="18.75" thickBot="1" x14ac:dyDescent="0.3">
      <c r="A148" s="14">
        <v>10959</v>
      </c>
      <c r="B148" s="29">
        <v>2432173.42</v>
      </c>
      <c r="C148" s="29">
        <v>3653659.91</v>
      </c>
      <c r="D148" s="29">
        <v>6085833.3300000001</v>
      </c>
      <c r="E148" s="45">
        <v>20</v>
      </c>
      <c r="F148" s="29">
        <v>1217166.67</v>
      </c>
      <c r="G148" s="29">
        <v>7303000</v>
      </c>
    </row>
    <row r="149" spans="1:7" ht="18.75" thickBot="1" x14ac:dyDescent="0.3">
      <c r="A149" s="14">
        <v>10990</v>
      </c>
      <c r="B149" s="29">
        <v>2432173.42</v>
      </c>
      <c r="C149" s="29">
        <v>3653659.91</v>
      </c>
      <c r="D149" s="29">
        <v>6085833.3300000001</v>
      </c>
      <c r="E149" s="45">
        <v>20</v>
      </c>
      <c r="F149" s="29">
        <v>1217166.67</v>
      </c>
      <c r="G149" s="29">
        <v>7303000</v>
      </c>
    </row>
    <row r="150" spans="1:7" ht="18.75" thickBot="1" x14ac:dyDescent="0.3">
      <c r="A150" s="14">
        <v>11018</v>
      </c>
      <c r="B150" s="29">
        <v>2432173.42</v>
      </c>
      <c r="C150" s="29">
        <v>3653659.91</v>
      </c>
      <c r="D150" s="29">
        <v>6085833.3300000001</v>
      </c>
      <c r="E150" s="45">
        <v>20</v>
      </c>
      <c r="F150" s="29">
        <v>1217166.67</v>
      </c>
      <c r="G150" s="29">
        <v>7303000</v>
      </c>
    </row>
    <row r="151" spans="1:7" ht="18.75" thickBot="1" x14ac:dyDescent="0.3">
      <c r="A151" s="14">
        <v>11049</v>
      </c>
      <c r="B151" s="29">
        <v>2432173.42</v>
      </c>
      <c r="C151" s="29">
        <v>3653659.91</v>
      </c>
      <c r="D151" s="29">
        <v>6085833.3300000001</v>
      </c>
      <c r="E151" s="45">
        <v>20</v>
      </c>
      <c r="F151" s="29">
        <v>1217166.67</v>
      </c>
      <c r="G151" s="29">
        <v>7303000</v>
      </c>
    </row>
    <row r="152" spans="1:7" ht="18.75" thickBot="1" x14ac:dyDescent="0.3">
      <c r="A152" s="14">
        <v>11079</v>
      </c>
      <c r="B152" s="29">
        <v>2432173.42</v>
      </c>
      <c r="C152" s="29">
        <v>3653659.91</v>
      </c>
      <c r="D152" s="29">
        <v>6085833.3300000001</v>
      </c>
      <c r="E152" s="45">
        <v>20</v>
      </c>
      <c r="F152" s="29">
        <v>1217166.67</v>
      </c>
      <c r="G152" s="29">
        <v>7303000</v>
      </c>
    </row>
    <row r="153" spans="1:7" ht="18.75" thickBot="1" x14ac:dyDescent="0.3">
      <c r="A153" s="14">
        <v>11110</v>
      </c>
      <c r="B153" s="29">
        <v>2432173.42</v>
      </c>
      <c r="C153" s="29">
        <v>3653659.91</v>
      </c>
      <c r="D153" s="29">
        <v>6085833.3300000001</v>
      </c>
      <c r="E153" s="45">
        <v>20</v>
      </c>
      <c r="F153" s="29">
        <v>1217166.67</v>
      </c>
      <c r="G153" s="29">
        <v>7303000</v>
      </c>
    </row>
    <row r="154" spans="1:7" ht="18.75" thickBot="1" x14ac:dyDescent="0.3">
      <c r="A154" s="14">
        <v>11140</v>
      </c>
      <c r="B154" s="29">
        <v>2432173.42</v>
      </c>
      <c r="C154" s="29">
        <v>3653659.91</v>
      </c>
      <c r="D154" s="29">
        <v>6085833.3300000001</v>
      </c>
      <c r="E154" s="45">
        <v>20</v>
      </c>
      <c r="F154" s="29">
        <v>1217166.67</v>
      </c>
      <c r="G154" s="29">
        <v>7303000</v>
      </c>
    </row>
    <row r="155" spans="1:7" ht="18.75" thickBot="1" x14ac:dyDescent="0.3">
      <c r="A155" s="14">
        <v>11171</v>
      </c>
      <c r="B155" s="29">
        <v>2432173.42</v>
      </c>
      <c r="C155" s="29">
        <v>3653659.91</v>
      </c>
      <c r="D155" s="29">
        <v>6085833.3300000001</v>
      </c>
      <c r="E155" s="45">
        <v>20</v>
      </c>
      <c r="F155" s="29">
        <v>1217166.67</v>
      </c>
      <c r="G155" s="29">
        <v>7303000</v>
      </c>
    </row>
    <row r="156" spans="1:7" ht="18.75" thickBot="1" x14ac:dyDescent="0.3">
      <c r="A156" s="14">
        <v>11202</v>
      </c>
      <c r="B156" s="29">
        <v>2432173.42</v>
      </c>
      <c r="C156" s="29">
        <v>3653659.91</v>
      </c>
      <c r="D156" s="29">
        <v>6085833.3300000001</v>
      </c>
      <c r="E156" s="45">
        <v>20</v>
      </c>
      <c r="F156" s="29">
        <v>1217166.67</v>
      </c>
      <c r="G156" s="29">
        <v>7303000</v>
      </c>
    </row>
    <row r="157" spans="1:7" ht="18.75" thickBot="1" x14ac:dyDescent="0.3">
      <c r="A157" s="14">
        <v>11232</v>
      </c>
      <c r="B157" s="29">
        <v>2432173.42</v>
      </c>
      <c r="C157" s="29">
        <v>3653659.91</v>
      </c>
      <c r="D157" s="29">
        <v>6085833.3300000001</v>
      </c>
      <c r="E157" s="45">
        <v>20</v>
      </c>
      <c r="F157" s="29">
        <v>1217166.67</v>
      </c>
      <c r="G157" s="29">
        <v>7303000</v>
      </c>
    </row>
    <row r="158" spans="1:7" ht="18.75" thickBot="1" x14ac:dyDescent="0.3">
      <c r="A158" s="14">
        <v>11263</v>
      </c>
      <c r="B158" s="29">
        <v>2432173.42</v>
      </c>
      <c r="C158" s="29">
        <v>3653659.91</v>
      </c>
      <c r="D158" s="29">
        <v>6085833.3300000001</v>
      </c>
      <c r="E158" s="45">
        <v>20</v>
      </c>
      <c r="F158" s="29">
        <v>1217166.67</v>
      </c>
      <c r="G158" s="29">
        <v>7303000</v>
      </c>
    </row>
    <row r="159" spans="1:7" ht="18.75" thickBot="1" x14ac:dyDescent="0.3">
      <c r="A159" s="14">
        <v>11293</v>
      </c>
      <c r="B159" s="29">
        <v>2432173.42</v>
      </c>
      <c r="C159" s="29">
        <v>3653659.91</v>
      </c>
      <c r="D159" s="29">
        <v>6085833.3300000001</v>
      </c>
      <c r="E159" s="45">
        <v>20</v>
      </c>
      <c r="F159" s="29">
        <v>1217166.67</v>
      </c>
      <c r="G159" s="29">
        <v>7303000</v>
      </c>
    </row>
    <row r="160" spans="1:7" ht="18.75" thickBot="1" x14ac:dyDescent="0.3">
      <c r="A160" s="3"/>
      <c r="B160" s="19">
        <v>29186081.039999999</v>
      </c>
      <c r="C160" s="19">
        <v>43843918.920000002</v>
      </c>
      <c r="D160" s="19">
        <v>73029999.959999993</v>
      </c>
      <c r="E160" s="35">
        <v>20</v>
      </c>
      <c r="F160" s="19">
        <v>14606000.039999999</v>
      </c>
      <c r="G160" s="19">
        <v>87636000</v>
      </c>
    </row>
    <row r="161" spans="1:7" ht="18.75" thickBot="1" x14ac:dyDescent="0.3">
      <c r="A161" s="15">
        <v>11324</v>
      </c>
      <c r="B161" s="30">
        <v>2432173.42</v>
      </c>
      <c r="C161" s="30">
        <v>3889493.25</v>
      </c>
      <c r="D161" s="30">
        <v>6321666.6699999999</v>
      </c>
      <c r="E161" s="46">
        <v>20</v>
      </c>
      <c r="F161" s="30">
        <v>1264333.33</v>
      </c>
      <c r="G161" s="30">
        <v>7586000</v>
      </c>
    </row>
    <row r="162" spans="1:7" ht="18.75" thickBot="1" x14ac:dyDescent="0.3">
      <c r="A162" s="15">
        <v>11355</v>
      </c>
      <c r="B162" s="30">
        <v>2432173.42</v>
      </c>
      <c r="C162" s="30">
        <v>3889493.25</v>
      </c>
      <c r="D162" s="30">
        <v>6321666.6699999999</v>
      </c>
      <c r="E162" s="46">
        <v>20</v>
      </c>
      <c r="F162" s="30">
        <v>1264333.33</v>
      </c>
      <c r="G162" s="30">
        <v>7586000</v>
      </c>
    </row>
    <row r="163" spans="1:7" ht="18.75" thickBot="1" x14ac:dyDescent="0.3">
      <c r="A163" s="15">
        <v>11383</v>
      </c>
      <c r="B163" s="30">
        <v>2432173.42</v>
      </c>
      <c r="C163" s="30">
        <v>3889493.25</v>
      </c>
      <c r="D163" s="30">
        <v>6321666.6699999999</v>
      </c>
      <c r="E163" s="46">
        <v>20</v>
      </c>
      <c r="F163" s="30">
        <v>1264333.33</v>
      </c>
      <c r="G163" s="30">
        <v>7586000</v>
      </c>
    </row>
    <row r="164" spans="1:7" ht="18.75" thickBot="1" x14ac:dyDescent="0.3">
      <c r="A164" s="15">
        <v>11414</v>
      </c>
      <c r="B164" s="30">
        <v>2432173.42</v>
      </c>
      <c r="C164" s="30">
        <v>3889493.25</v>
      </c>
      <c r="D164" s="30">
        <v>6321666.6699999999</v>
      </c>
      <c r="E164" s="46">
        <v>20</v>
      </c>
      <c r="F164" s="30">
        <v>1264333.33</v>
      </c>
      <c r="G164" s="30">
        <v>7586000</v>
      </c>
    </row>
    <row r="165" spans="1:7" ht="18.75" thickBot="1" x14ac:dyDescent="0.3">
      <c r="A165" s="15">
        <v>11444</v>
      </c>
      <c r="B165" s="30">
        <v>2432173.42</v>
      </c>
      <c r="C165" s="30">
        <v>3889493.25</v>
      </c>
      <c r="D165" s="30">
        <v>6321666.6699999999</v>
      </c>
      <c r="E165" s="46">
        <v>20</v>
      </c>
      <c r="F165" s="30">
        <v>1264333.33</v>
      </c>
      <c r="G165" s="30">
        <v>7586000</v>
      </c>
    </row>
    <row r="166" spans="1:7" ht="18.75" thickBot="1" x14ac:dyDescent="0.3">
      <c r="A166" s="15">
        <v>11475</v>
      </c>
      <c r="B166" s="30">
        <v>2432173.42</v>
      </c>
      <c r="C166" s="30">
        <v>3889493.25</v>
      </c>
      <c r="D166" s="30">
        <v>6321666.6699999999</v>
      </c>
      <c r="E166" s="46">
        <v>20</v>
      </c>
      <c r="F166" s="30">
        <v>1264333.33</v>
      </c>
      <c r="G166" s="30">
        <v>7586000</v>
      </c>
    </row>
    <row r="167" spans="1:7" ht="18.75" thickBot="1" x14ac:dyDescent="0.3">
      <c r="A167" s="15">
        <v>11505</v>
      </c>
      <c r="B167" s="30">
        <v>2432173.42</v>
      </c>
      <c r="C167" s="30">
        <v>3889493.25</v>
      </c>
      <c r="D167" s="30">
        <v>6321666.6699999999</v>
      </c>
      <c r="E167" s="46">
        <v>20</v>
      </c>
      <c r="F167" s="30">
        <v>1264333.33</v>
      </c>
      <c r="G167" s="30">
        <v>7586000</v>
      </c>
    </row>
    <row r="168" spans="1:7" ht="18.75" thickBot="1" x14ac:dyDescent="0.3">
      <c r="A168" s="15">
        <v>11536</v>
      </c>
      <c r="B168" s="30">
        <v>2432173.42</v>
      </c>
      <c r="C168" s="30">
        <v>3889493.25</v>
      </c>
      <c r="D168" s="30">
        <v>6321666.6699999999</v>
      </c>
      <c r="E168" s="46">
        <v>20</v>
      </c>
      <c r="F168" s="30">
        <v>1264333.33</v>
      </c>
      <c r="G168" s="30">
        <v>7586000</v>
      </c>
    </row>
    <row r="169" spans="1:7" ht="18.75" thickBot="1" x14ac:dyDescent="0.3">
      <c r="A169" s="15">
        <v>11567</v>
      </c>
      <c r="B169" s="30">
        <v>2432173.42</v>
      </c>
      <c r="C169" s="30">
        <v>3889493.25</v>
      </c>
      <c r="D169" s="30">
        <v>6321666.6699999999</v>
      </c>
      <c r="E169" s="46">
        <v>20</v>
      </c>
      <c r="F169" s="30">
        <v>1264333.33</v>
      </c>
      <c r="G169" s="30">
        <v>7586000</v>
      </c>
    </row>
    <row r="170" spans="1:7" ht="18.75" thickBot="1" x14ac:dyDescent="0.3">
      <c r="A170" s="15">
        <v>11597</v>
      </c>
      <c r="B170" s="30">
        <v>2432173.42</v>
      </c>
      <c r="C170" s="30">
        <v>3889493.25</v>
      </c>
      <c r="D170" s="30">
        <v>6321666.6699999999</v>
      </c>
      <c r="E170" s="46">
        <v>20</v>
      </c>
      <c r="F170" s="30">
        <v>1264333.33</v>
      </c>
      <c r="G170" s="30">
        <v>7586000</v>
      </c>
    </row>
    <row r="171" spans="1:7" ht="18.75" thickBot="1" x14ac:dyDescent="0.3">
      <c r="A171" s="15">
        <v>11628</v>
      </c>
      <c r="B171" s="30">
        <v>2432173.42</v>
      </c>
      <c r="C171" s="30">
        <v>3889493.25</v>
      </c>
      <c r="D171" s="30">
        <v>6321666.6699999999</v>
      </c>
      <c r="E171" s="46">
        <v>20</v>
      </c>
      <c r="F171" s="30">
        <v>1264333.33</v>
      </c>
      <c r="G171" s="30">
        <v>7586000</v>
      </c>
    </row>
    <row r="172" spans="1:7" ht="18.75" thickBot="1" x14ac:dyDescent="0.3">
      <c r="A172" s="15">
        <v>11658</v>
      </c>
      <c r="B172" s="30">
        <v>2432173.42</v>
      </c>
      <c r="C172" s="30">
        <v>3889493.25</v>
      </c>
      <c r="D172" s="30">
        <v>6321666.6699999999</v>
      </c>
      <c r="E172" s="46">
        <v>20</v>
      </c>
      <c r="F172" s="30">
        <v>1264333.33</v>
      </c>
      <c r="G172" s="30">
        <v>7586000</v>
      </c>
    </row>
    <row r="173" spans="1:7" ht="18.75" thickBot="1" x14ac:dyDescent="0.3">
      <c r="A173" s="5"/>
      <c r="B173" s="19">
        <v>29186081.039999999</v>
      </c>
      <c r="C173" s="19">
        <v>46673919</v>
      </c>
      <c r="D173" s="19">
        <v>75860000.040000007</v>
      </c>
      <c r="E173" s="35">
        <v>20</v>
      </c>
      <c r="F173" s="19">
        <v>15171999.960000001</v>
      </c>
      <c r="G173" s="19">
        <v>91032000</v>
      </c>
    </row>
    <row r="174" spans="1:7" ht="18.75" thickBot="1" x14ac:dyDescent="0.3">
      <c r="A174" s="7">
        <v>11689</v>
      </c>
      <c r="B174" s="22">
        <v>2432173.42</v>
      </c>
      <c r="C174" s="22">
        <v>4518659.91</v>
      </c>
      <c r="D174" s="22">
        <v>6950833.3300000001</v>
      </c>
      <c r="E174" s="38">
        <v>20</v>
      </c>
      <c r="F174" s="22">
        <v>1390166.67</v>
      </c>
      <c r="G174" s="22">
        <v>8341000</v>
      </c>
    </row>
    <row r="175" spans="1:7" ht="18.75" thickBot="1" x14ac:dyDescent="0.3">
      <c r="A175" s="7">
        <v>11720</v>
      </c>
      <c r="B175" s="22">
        <v>2432173.42</v>
      </c>
      <c r="C175" s="22">
        <v>4518659.91</v>
      </c>
      <c r="D175" s="22">
        <v>6950833.3300000001</v>
      </c>
      <c r="E175" s="38">
        <v>20</v>
      </c>
      <c r="F175" s="22">
        <v>1390166.67</v>
      </c>
      <c r="G175" s="22">
        <v>8341000</v>
      </c>
    </row>
    <row r="176" spans="1:7" ht="18.75" thickBot="1" x14ac:dyDescent="0.3">
      <c r="A176" s="7">
        <v>11749</v>
      </c>
      <c r="B176" s="22">
        <v>2432173.42</v>
      </c>
      <c r="C176" s="22">
        <v>4518659.91</v>
      </c>
      <c r="D176" s="22">
        <v>6950833.3300000001</v>
      </c>
      <c r="E176" s="38">
        <v>20</v>
      </c>
      <c r="F176" s="22">
        <v>1390166.67</v>
      </c>
      <c r="G176" s="22">
        <v>8341000</v>
      </c>
    </row>
    <row r="177" spans="1:7" ht="18.75" thickBot="1" x14ac:dyDescent="0.3">
      <c r="A177" s="7">
        <v>11780</v>
      </c>
      <c r="B177" s="22">
        <v>2432173.42</v>
      </c>
      <c r="C177" s="22">
        <v>4518659.91</v>
      </c>
      <c r="D177" s="22">
        <v>6950833.3300000001</v>
      </c>
      <c r="E177" s="38">
        <v>20</v>
      </c>
      <c r="F177" s="22">
        <v>1390166.67</v>
      </c>
      <c r="G177" s="22">
        <v>8341000</v>
      </c>
    </row>
    <row r="178" spans="1:7" ht="18.75" thickBot="1" x14ac:dyDescent="0.3">
      <c r="A178" s="7">
        <v>11810</v>
      </c>
      <c r="B178" s="22">
        <v>2432173.42</v>
      </c>
      <c r="C178" s="22">
        <v>4518659.91</v>
      </c>
      <c r="D178" s="22">
        <v>6950833.3300000001</v>
      </c>
      <c r="E178" s="38">
        <v>20</v>
      </c>
      <c r="F178" s="22">
        <v>1390166.67</v>
      </c>
      <c r="G178" s="22">
        <v>8341000</v>
      </c>
    </row>
    <row r="179" spans="1:7" ht="18.75" thickBot="1" x14ac:dyDescent="0.3">
      <c r="A179" s="7">
        <v>11841</v>
      </c>
      <c r="B179" s="22">
        <v>2432173.42</v>
      </c>
      <c r="C179" s="22">
        <v>4518659.91</v>
      </c>
      <c r="D179" s="22">
        <v>6950833.3300000001</v>
      </c>
      <c r="E179" s="38">
        <v>20</v>
      </c>
      <c r="F179" s="22">
        <v>1390166.67</v>
      </c>
      <c r="G179" s="22">
        <v>8341000</v>
      </c>
    </row>
    <row r="180" spans="1:7" ht="18.75" thickBot="1" x14ac:dyDescent="0.3">
      <c r="A180" s="7">
        <v>11871</v>
      </c>
      <c r="B180" s="22">
        <v>2432173.42</v>
      </c>
      <c r="C180" s="22">
        <v>4518659.91</v>
      </c>
      <c r="D180" s="22">
        <v>6950833.3300000001</v>
      </c>
      <c r="E180" s="38">
        <v>20</v>
      </c>
      <c r="F180" s="22">
        <v>1390166.67</v>
      </c>
      <c r="G180" s="22">
        <v>8341000</v>
      </c>
    </row>
    <row r="181" spans="1:7" ht="18.75" thickBot="1" x14ac:dyDescent="0.3">
      <c r="A181" s="7">
        <v>11902</v>
      </c>
      <c r="B181" s="22">
        <v>2432173.42</v>
      </c>
      <c r="C181" s="22">
        <v>4518659.91</v>
      </c>
      <c r="D181" s="22">
        <v>6950833.3300000001</v>
      </c>
      <c r="E181" s="38">
        <v>20</v>
      </c>
      <c r="F181" s="22">
        <v>1390166.67</v>
      </c>
      <c r="G181" s="22">
        <v>8341000</v>
      </c>
    </row>
    <row r="182" spans="1:7" ht="18.75" thickBot="1" x14ac:dyDescent="0.3">
      <c r="A182" s="7">
        <v>11933</v>
      </c>
      <c r="B182" s="22">
        <v>2432173.42</v>
      </c>
      <c r="C182" s="22">
        <v>4518659.91</v>
      </c>
      <c r="D182" s="22">
        <v>6950833.3300000001</v>
      </c>
      <c r="E182" s="38">
        <v>20</v>
      </c>
      <c r="F182" s="22">
        <v>1390166.67</v>
      </c>
      <c r="G182" s="22">
        <v>8341000</v>
      </c>
    </row>
    <row r="183" spans="1:7" ht="18.75" thickBot="1" x14ac:dyDescent="0.3">
      <c r="A183" s="7">
        <v>11963</v>
      </c>
      <c r="B183" s="22">
        <v>2432173.42</v>
      </c>
      <c r="C183" s="22">
        <v>4518659.91</v>
      </c>
      <c r="D183" s="22">
        <v>6950833.3300000001</v>
      </c>
      <c r="E183" s="38">
        <v>20</v>
      </c>
      <c r="F183" s="22">
        <v>1390166.67</v>
      </c>
      <c r="G183" s="22">
        <v>8341000</v>
      </c>
    </row>
    <row r="184" spans="1:7" ht="18.75" thickBot="1" x14ac:dyDescent="0.3">
      <c r="A184" s="7">
        <v>11994</v>
      </c>
      <c r="B184" s="22">
        <v>2432173.42</v>
      </c>
      <c r="C184" s="22">
        <v>4518659.91</v>
      </c>
      <c r="D184" s="22">
        <v>6950833.3300000001</v>
      </c>
      <c r="E184" s="38">
        <v>20</v>
      </c>
      <c r="F184" s="22">
        <v>1390166.67</v>
      </c>
      <c r="G184" s="22">
        <v>8341000</v>
      </c>
    </row>
    <row r="185" spans="1:7" ht="18.75" thickBot="1" x14ac:dyDescent="0.3">
      <c r="A185" s="7">
        <v>12024</v>
      </c>
      <c r="B185" s="22">
        <v>2432173.42</v>
      </c>
      <c r="C185" s="22">
        <v>4518659.91</v>
      </c>
      <c r="D185" s="22">
        <v>6950833.3300000001</v>
      </c>
      <c r="E185" s="38">
        <v>20</v>
      </c>
      <c r="F185" s="22">
        <v>1390166.67</v>
      </c>
      <c r="G185" s="22">
        <v>8341000</v>
      </c>
    </row>
    <row r="186" spans="1:7" ht="18.75" thickBot="1" x14ac:dyDescent="0.3">
      <c r="A186" s="3"/>
      <c r="B186" s="19">
        <v>29186081.039999999</v>
      </c>
      <c r="C186" s="19">
        <v>54223918.920000002</v>
      </c>
      <c r="D186" s="19">
        <v>83409999.959999993</v>
      </c>
      <c r="E186" s="35">
        <v>20</v>
      </c>
      <c r="F186" s="19">
        <v>16682000.039999999</v>
      </c>
      <c r="G186" s="19">
        <v>100092000</v>
      </c>
    </row>
    <row r="187" spans="1:7" ht="18.75" thickBot="1" x14ac:dyDescent="0.3">
      <c r="A187" s="12">
        <v>12055</v>
      </c>
      <c r="B187" s="27">
        <v>2432173.42</v>
      </c>
      <c r="C187" s="27">
        <v>1153281.1299999999</v>
      </c>
      <c r="D187" s="27">
        <v>3585454.55</v>
      </c>
      <c r="E187" s="43">
        <v>20</v>
      </c>
      <c r="F187" s="27">
        <v>717090.91</v>
      </c>
      <c r="G187" s="27">
        <v>4302545.46</v>
      </c>
    </row>
    <row r="188" spans="1:7" ht="18.75" thickBot="1" x14ac:dyDescent="0.3">
      <c r="A188" s="12">
        <v>12086</v>
      </c>
      <c r="B188" s="27">
        <v>2432173.42</v>
      </c>
      <c r="C188" s="27">
        <v>1153281.1299999999</v>
      </c>
      <c r="D188" s="27">
        <v>3585454.55</v>
      </c>
      <c r="E188" s="43">
        <v>20</v>
      </c>
      <c r="F188" s="27">
        <v>717090.91</v>
      </c>
      <c r="G188" s="27">
        <v>4302545.46</v>
      </c>
    </row>
    <row r="189" spans="1:7" ht="18.75" thickBot="1" x14ac:dyDescent="0.3">
      <c r="A189" s="12">
        <v>12114</v>
      </c>
      <c r="B189" s="27">
        <v>2432173.42</v>
      </c>
      <c r="C189" s="27">
        <v>1153281.1299999999</v>
      </c>
      <c r="D189" s="27">
        <v>3585454.55</v>
      </c>
      <c r="E189" s="43">
        <v>20</v>
      </c>
      <c r="F189" s="27">
        <v>717090.91</v>
      </c>
      <c r="G189" s="27">
        <v>4302545.46</v>
      </c>
    </row>
    <row r="190" spans="1:7" ht="18.75" thickBot="1" x14ac:dyDescent="0.3">
      <c r="A190" s="12">
        <v>12145</v>
      </c>
      <c r="B190" s="27">
        <v>2432173.42</v>
      </c>
      <c r="C190" s="27">
        <v>1153281.1299999999</v>
      </c>
      <c r="D190" s="27">
        <v>3585454.55</v>
      </c>
      <c r="E190" s="43">
        <v>20</v>
      </c>
      <c r="F190" s="27">
        <v>717090.91</v>
      </c>
      <c r="G190" s="27">
        <v>4302545.46</v>
      </c>
    </row>
    <row r="191" spans="1:7" ht="18.75" thickBot="1" x14ac:dyDescent="0.3">
      <c r="A191" s="12">
        <v>12175</v>
      </c>
      <c r="B191" s="27">
        <v>2432173.42</v>
      </c>
      <c r="C191" s="27">
        <v>1153281.1299999999</v>
      </c>
      <c r="D191" s="27">
        <v>3585454.55</v>
      </c>
      <c r="E191" s="43">
        <v>20</v>
      </c>
      <c r="F191" s="27">
        <v>717090.91</v>
      </c>
      <c r="G191" s="27">
        <v>4302545.46</v>
      </c>
    </row>
    <row r="192" spans="1:7" ht="18.75" thickBot="1" x14ac:dyDescent="0.3">
      <c r="A192" s="12">
        <v>12206</v>
      </c>
      <c r="B192" s="27">
        <v>2432173.42</v>
      </c>
      <c r="C192" s="27">
        <v>1153281.1299999999</v>
      </c>
      <c r="D192" s="27">
        <v>3585454.55</v>
      </c>
      <c r="E192" s="43">
        <v>20</v>
      </c>
      <c r="F192" s="27">
        <v>717090.91</v>
      </c>
      <c r="G192" s="27">
        <v>4302545.46</v>
      </c>
    </row>
    <row r="193" spans="1:7" ht="18.75" thickBot="1" x14ac:dyDescent="0.3">
      <c r="A193" s="12">
        <v>12236</v>
      </c>
      <c r="B193" s="27">
        <v>2432173.42</v>
      </c>
      <c r="C193" s="27">
        <v>1153281.1299999999</v>
      </c>
      <c r="D193" s="27">
        <v>3585454.55</v>
      </c>
      <c r="E193" s="43">
        <v>20</v>
      </c>
      <c r="F193" s="27">
        <v>717090.91</v>
      </c>
      <c r="G193" s="27">
        <v>4302545.46</v>
      </c>
    </row>
    <row r="194" spans="1:7" ht="18.75" thickBot="1" x14ac:dyDescent="0.3">
      <c r="A194" s="12">
        <v>12267</v>
      </c>
      <c r="B194" s="27">
        <v>2432173.42</v>
      </c>
      <c r="C194" s="27">
        <v>1153281.1299999999</v>
      </c>
      <c r="D194" s="27">
        <v>3585454.55</v>
      </c>
      <c r="E194" s="43">
        <v>20</v>
      </c>
      <c r="F194" s="27">
        <v>717090.91</v>
      </c>
      <c r="G194" s="27">
        <v>4302545.46</v>
      </c>
    </row>
    <row r="195" spans="1:7" ht="18.75" thickBot="1" x14ac:dyDescent="0.3">
      <c r="A195" s="12">
        <v>12298</v>
      </c>
      <c r="B195" s="27">
        <v>2432172.77</v>
      </c>
      <c r="C195" s="27">
        <v>1151281.73</v>
      </c>
      <c r="D195" s="27">
        <v>3583454.5</v>
      </c>
      <c r="E195" s="43">
        <v>20</v>
      </c>
      <c r="F195" s="27">
        <v>716690.9</v>
      </c>
      <c r="G195" s="27">
        <v>4300145.4000000004</v>
      </c>
    </row>
    <row r="196" spans="1:7" ht="18.75" thickBot="1" x14ac:dyDescent="0.3">
      <c r="A196" s="5"/>
      <c r="B196" s="19">
        <v>21889560.129999999</v>
      </c>
      <c r="C196" s="19">
        <v>10377530.77</v>
      </c>
      <c r="D196" s="19">
        <v>32267090.899999999</v>
      </c>
      <c r="E196" s="35">
        <v>20</v>
      </c>
      <c r="F196" s="19">
        <v>6453418.1799999997</v>
      </c>
      <c r="G196" s="19">
        <v>38720509.079999998</v>
      </c>
    </row>
    <row r="197" spans="1:7" ht="18.75" thickBot="1" x14ac:dyDescent="0.3">
      <c r="A197" s="16" t="s">
        <v>7</v>
      </c>
      <c r="B197" s="31">
        <v>435359041.52999997</v>
      </c>
      <c r="C197" s="31">
        <v>473088958.47000003</v>
      </c>
      <c r="D197" s="31">
        <v>908448000</v>
      </c>
      <c r="E197" s="47"/>
      <c r="F197" s="31">
        <v>181546181.81999999</v>
      </c>
      <c r="G197" s="31">
        <v>1089994181.8199999</v>
      </c>
    </row>
    <row r="198" spans="1:7" hidden="1" x14ac:dyDescent="0.25">
      <c r="B198" s="32">
        <f>'Расчет по лизингу'!B203</f>
        <v>435359041.52999997</v>
      </c>
      <c r="C198" s="32">
        <f>'Расчет по лизингу'!E203</f>
        <v>473088958.47000003</v>
      </c>
      <c r="D198" s="32">
        <f>'Расчет по лизингу'!H203</f>
        <v>908448000</v>
      </c>
      <c r="G198" s="32">
        <f>'Расчет по лизингу'!K203</f>
        <v>1089994179.8599999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8F4D1-7492-499B-B310-12CBABB38100}">
  <sheetPr>
    <pageSetUpPr fitToPage="1"/>
  </sheetPr>
  <dimension ref="A1:G32"/>
  <sheetViews>
    <sheetView workbookViewId="0">
      <pane xSplit="5" ySplit="3" topLeftCell="F4" activePane="bottomRight" state="frozen"/>
      <selection pane="topRight" activeCell="F1" sqref="F1"/>
      <selection pane="bottomLeft" activeCell="A3" sqref="A3"/>
      <selection pane="bottomRight" activeCell="I14" sqref="I14"/>
    </sheetView>
  </sheetViews>
  <sheetFormatPr defaultRowHeight="18" x14ac:dyDescent="0.25"/>
  <cols>
    <col min="1" max="1" width="30" style="49" customWidth="1"/>
    <col min="2" max="3" width="15.109375" style="52" customWidth="1"/>
    <col min="4" max="4" width="15.109375" style="53" customWidth="1"/>
    <col min="5" max="5" width="15.109375" style="52" customWidth="1"/>
    <col min="6" max="6" width="15.109375" style="52" hidden="1" customWidth="1"/>
    <col min="7" max="7" width="0" style="49" hidden="1" customWidth="1"/>
    <col min="8" max="16384" width="8.88671875" style="49"/>
  </cols>
  <sheetData>
    <row r="1" spans="1:7" s="124" customFormat="1" ht="53.25" customHeight="1" thickBot="1" x14ac:dyDescent="0.3">
      <c r="A1" s="225" t="s">
        <v>51</v>
      </c>
      <c r="B1" s="225"/>
      <c r="C1" s="225"/>
      <c r="D1" s="225"/>
      <c r="E1" s="225"/>
      <c r="F1" s="123"/>
    </row>
    <row r="2" spans="1:7" s="122" customFormat="1" x14ac:dyDescent="0.25">
      <c r="A2" s="230" t="s">
        <v>48</v>
      </c>
      <c r="B2" s="227" t="s">
        <v>9</v>
      </c>
      <c r="C2" s="228"/>
      <c r="D2" s="228"/>
      <c r="E2" s="229"/>
    </row>
    <row r="3" spans="1:7" s="50" customFormat="1" ht="18.75" thickBot="1" x14ac:dyDescent="0.3">
      <c r="A3" s="231"/>
      <c r="B3" s="72" t="s">
        <v>15</v>
      </c>
      <c r="C3" s="67" t="s">
        <v>11</v>
      </c>
      <c r="D3" s="68" t="s">
        <v>12</v>
      </c>
      <c r="E3" s="69" t="s">
        <v>10</v>
      </c>
      <c r="F3" s="51"/>
    </row>
    <row r="4" spans="1:7" x14ac:dyDescent="0.25">
      <c r="A4" s="78" t="s">
        <v>8</v>
      </c>
      <c r="B4" s="73">
        <v>1071968640</v>
      </c>
      <c r="C4" s="60">
        <f>B4-E4</f>
        <v>163520640</v>
      </c>
      <c r="D4" s="61">
        <v>0.18</v>
      </c>
      <c r="E4" s="62">
        <f>B4/(1+D4)</f>
        <v>908448000</v>
      </c>
      <c r="F4" s="52">
        <f>E4*0.022</f>
        <v>19985856</v>
      </c>
      <c r="G4" s="49">
        <f>F4/12*3</f>
        <v>4996464</v>
      </c>
    </row>
    <row r="5" spans="1:7" x14ac:dyDescent="0.25">
      <c r="A5" s="79" t="s">
        <v>16</v>
      </c>
      <c r="B5" s="74">
        <v>513723669</v>
      </c>
      <c r="C5" s="54">
        <f>B5-E5</f>
        <v>78364627.469999999</v>
      </c>
      <c r="D5" s="55">
        <f>D4</f>
        <v>0.18</v>
      </c>
      <c r="E5" s="63">
        <f>B5/(1+D5)</f>
        <v>435359041.52999997</v>
      </c>
    </row>
    <row r="6" spans="1:7" x14ac:dyDescent="0.25">
      <c r="A6" s="79" t="s">
        <v>13</v>
      </c>
      <c r="B6" s="74">
        <f>B4-B5</f>
        <v>558244971</v>
      </c>
      <c r="C6" s="54">
        <f>B6-E6</f>
        <v>85156012.530000001</v>
      </c>
      <c r="D6" s="55">
        <f>D5</f>
        <v>0.18</v>
      </c>
      <c r="E6" s="63">
        <f>B6/(1+D6)</f>
        <v>473088958.47000003</v>
      </c>
    </row>
    <row r="7" spans="1:7" ht="18.75" thickBot="1" x14ac:dyDescent="0.3">
      <c r="A7" s="80" t="s">
        <v>14</v>
      </c>
      <c r="B7" s="232">
        <v>180</v>
      </c>
      <c r="C7" s="233"/>
      <c r="D7" s="233"/>
      <c r="E7" s="234"/>
    </row>
    <row r="8" spans="1:7" ht="36.75" thickBot="1" x14ac:dyDescent="0.3">
      <c r="A8" s="81" t="s">
        <v>17</v>
      </c>
      <c r="B8" s="75">
        <f>C8+E8</f>
        <v>2854020.38</v>
      </c>
      <c r="C8" s="58">
        <f>E8*D8</f>
        <v>435359.04</v>
      </c>
      <c r="D8" s="59">
        <v>0.18</v>
      </c>
      <c r="E8" s="70">
        <f>E5/B7</f>
        <v>2418661.34</v>
      </c>
    </row>
    <row r="9" spans="1:7" ht="54.75" hidden="1" thickBot="1" x14ac:dyDescent="0.3">
      <c r="A9" s="82" t="s">
        <v>18</v>
      </c>
      <c r="B9" s="76">
        <f>C9+E9</f>
        <v>2902393.61</v>
      </c>
      <c r="C9" s="56">
        <f>E9*D9</f>
        <v>483732.27</v>
      </c>
      <c r="D9" s="57">
        <v>0.2</v>
      </c>
      <c r="E9" s="71">
        <f>E5/B7</f>
        <v>2418661.34</v>
      </c>
    </row>
    <row r="10" spans="1:7" ht="54" x14ac:dyDescent="0.25">
      <c r="A10" s="78" t="s">
        <v>49</v>
      </c>
      <c r="B10" s="73">
        <v>46540000</v>
      </c>
      <c r="C10" s="60">
        <f>B10-E10</f>
        <v>7099322.0300000003</v>
      </c>
      <c r="D10" s="61">
        <f>D8</f>
        <v>0.18</v>
      </c>
      <c r="E10" s="62">
        <f>B10/(1+D10)</f>
        <v>39440677.969999999</v>
      </c>
    </row>
    <row r="11" spans="1:7" ht="54" x14ac:dyDescent="0.25">
      <c r="A11" s="79" t="s">
        <v>34</v>
      </c>
      <c r="B11" s="235">
        <v>11</v>
      </c>
      <c r="C11" s="235"/>
      <c r="D11" s="235"/>
      <c r="E11" s="236"/>
    </row>
    <row r="12" spans="1:7" ht="36.75" thickBot="1" x14ac:dyDescent="0.3">
      <c r="A12" s="82" t="s">
        <v>50</v>
      </c>
      <c r="B12" s="237">
        <v>2</v>
      </c>
      <c r="C12" s="237"/>
      <c r="D12" s="237"/>
      <c r="E12" s="238"/>
    </row>
    <row r="13" spans="1:7" ht="36" x14ac:dyDescent="0.25">
      <c r="A13" s="78" t="s">
        <v>35</v>
      </c>
      <c r="B13" s="73">
        <f>B10/B11*B12</f>
        <v>8461818.1799999997</v>
      </c>
      <c r="C13" s="60">
        <f>B13-E13</f>
        <v>1290785.82</v>
      </c>
      <c r="D13" s="61">
        <f>D10</f>
        <v>0.18</v>
      </c>
      <c r="E13" s="62">
        <f>B13/(1+D13)</f>
        <v>7171032.3600000003</v>
      </c>
    </row>
    <row r="14" spans="1:7" s="89" customFormat="1" ht="15.75" x14ac:dyDescent="0.25">
      <c r="A14" s="83" t="s">
        <v>36</v>
      </c>
      <c r="B14" s="84">
        <f>C14+E14</f>
        <v>5708040.7599999998</v>
      </c>
      <c r="C14" s="85">
        <f>D14*E14</f>
        <v>870718.08</v>
      </c>
      <c r="D14" s="86">
        <f>D13</f>
        <v>0.18</v>
      </c>
      <c r="E14" s="87">
        <f>E8*2</f>
        <v>4837322.68</v>
      </c>
      <c r="F14" s="88"/>
    </row>
    <row r="15" spans="1:7" s="89" customFormat="1" ht="16.5" thickBot="1" x14ac:dyDescent="0.3">
      <c r="A15" s="90" t="s">
        <v>37</v>
      </c>
      <c r="B15" s="91">
        <f>C15+E15</f>
        <v>2753777.42</v>
      </c>
      <c r="C15" s="92">
        <f>D15*E15</f>
        <v>420067.74</v>
      </c>
      <c r="D15" s="93">
        <f>D14</f>
        <v>0.18</v>
      </c>
      <c r="E15" s="94">
        <f>E13-E14</f>
        <v>2333709.6800000002</v>
      </c>
      <c r="F15" s="88"/>
    </row>
    <row r="16" spans="1:7" ht="54" x14ac:dyDescent="0.25">
      <c r="A16" s="81" t="s">
        <v>19</v>
      </c>
      <c r="B16" s="75">
        <f>C16+E16</f>
        <v>55688135.590000004</v>
      </c>
      <c r="C16" s="58">
        <f>D16*E16</f>
        <v>9281355.9299999997</v>
      </c>
      <c r="D16" s="59">
        <f>D9</f>
        <v>0.2</v>
      </c>
      <c r="E16" s="70">
        <v>46406779.659999996</v>
      </c>
    </row>
    <row r="17" spans="1:6" ht="54" x14ac:dyDescent="0.25">
      <c r="A17" s="79" t="s">
        <v>20</v>
      </c>
      <c r="B17" s="74">
        <f t="shared" ref="B17:B30" si="0">C17+E17</f>
        <v>58240677.969999999</v>
      </c>
      <c r="C17" s="54">
        <f t="shared" ref="C17:C30" si="1">D17*E17</f>
        <v>9706779.6600000001</v>
      </c>
      <c r="D17" s="55">
        <f>D16</f>
        <v>0.2</v>
      </c>
      <c r="E17" s="63">
        <v>48533898.310000002</v>
      </c>
    </row>
    <row r="18" spans="1:6" ht="54" x14ac:dyDescent="0.25">
      <c r="A18" s="79" t="s">
        <v>21</v>
      </c>
      <c r="B18" s="74">
        <f t="shared" si="0"/>
        <v>60854237.289999999</v>
      </c>
      <c r="C18" s="54">
        <f t="shared" si="1"/>
        <v>10142372.880000001</v>
      </c>
      <c r="D18" s="55">
        <f t="shared" ref="D18:D30" si="2">D17</f>
        <v>0.2</v>
      </c>
      <c r="E18" s="63">
        <v>50711864.409999996</v>
      </c>
    </row>
    <row r="19" spans="1:6" ht="54" x14ac:dyDescent="0.25">
      <c r="A19" s="79" t="s">
        <v>22</v>
      </c>
      <c r="B19" s="74">
        <f t="shared" si="0"/>
        <v>63528813.560000002</v>
      </c>
      <c r="C19" s="54">
        <f t="shared" si="1"/>
        <v>10588135.59</v>
      </c>
      <c r="D19" s="55">
        <f t="shared" si="2"/>
        <v>0.2</v>
      </c>
      <c r="E19" s="63">
        <v>52940677.969999999</v>
      </c>
    </row>
    <row r="20" spans="1:6" ht="54" x14ac:dyDescent="0.25">
      <c r="A20" s="79" t="s">
        <v>23</v>
      </c>
      <c r="B20" s="74">
        <f t="shared" si="0"/>
        <v>66274576.270000003</v>
      </c>
      <c r="C20" s="54">
        <f t="shared" si="1"/>
        <v>11045762.710000001</v>
      </c>
      <c r="D20" s="55">
        <f t="shared" si="2"/>
        <v>0.2</v>
      </c>
      <c r="E20" s="63">
        <v>55228813.560000002</v>
      </c>
    </row>
    <row r="21" spans="1:6" ht="54" x14ac:dyDescent="0.25">
      <c r="A21" s="79" t="s">
        <v>24</v>
      </c>
      <c r="B21" s="74">
        <f t="shared" si="0"/>
        <v>69081355.930000007</v>
      </c>
      <c r="C21" s="54">
        <f t="shared" si="1"/>
        <v>11513559.32</v>
      </c>
      <c r="D21" s="55">
        <f t="shared" si="2"/>
        <v>0.2</v>
      </c>
      <c r="E21" s="63">
        <v>57567796.609999999</v>
      </c>
    </row>
    <row r="22" spans="1:6" ht="54" x14ac:dyDescent="0.25">
      <c r="A22" s="79" t="s">
        <v>25</v>
      </c>
      <c r="B22" s="74">
        <f t="shared" si="0"/>
        <v>71979661.019999996</v>
      </c>
      <c r="C22" s="54">
        <f t="shared" si="1"/>
        <v>11996610.17</v>
      </c>
      <c r="D22" s="55">
        <f t="shared" si="2"/>
        <v>0.2</v>
      </c>
      <c r="E22" s="63">
        <v>59983050.850000001</v>
      </c>
    </row>
    <row r="23" spans="1:6" ht="54" x14ac:dyDescent="0.25">
      <c r="A23" s="79" t="s">
        <v>26</v>
      </c>
      <c r="B23" s="74">
        <f t="shared" si="0"/>
        <v>74949152.540000007</v>
      </c>
      <c r="C23" s="54">
        <f t="shared" si="1"/>
        <v>12491525.42</v>
      </c>
      <c r="D23" s="55">
        <f t="shared" si="2"/>
        <v>0.2</v>
      </c>
      <c r="E23" s="63">
        <v>62457627.119999997</v>
      </c>
    </row>
    <row r="24" spans="1:6" ht="54" x14ac:dyDescent="0.25">
      <c r="A24" s="79" t="s">
        <v>27</v>
      </c>
      <c r="B24" s="74">
        <f t="shared" si="0"/>
        <v>78000000</v>
      </c>
      <c r="C24" s="54">
        <f t="shared" si="1"/>
        <v>13000000</v>
      </c>
      <c r="D24" s="55">
        <f t="shared" si="2"/>
        <v>0.2</v>
      </c>
      <c r="E24" s="63">
        <v>65000000</v>
      </c>
    </row>
    <row r="25" spans="1:6" ht="54" x14ac:dyDescent="0.25">
      <c r="A25" s="79" t="s">
        <v>28</v>
      </c>
      <c r="B25" s="74">
        <f t="shared" si="0"/>
        <v>81122033.900000006</v>
      </c>
      <c r="C25" s="54">
        <f t="shared" si="1"/>
        <v>13520338.98</v>
      </c>
      <c r="D25" s="55">
        <f t="shared" si="2"/>
        <v>0.2</v>
      </c>
      <c r="E25" s="63">
        <v>67601694.920000002</v>
      </c>
    </row>
    <row r="26" spans="1:6" ht="54" x14ac:dyDescent="0.25">
      <c r="A26" s="79" t="s">
        <v>29</v>
      </c>
      <c r="B26" s="74">
        <f t="shared" si="0"/>
        <v>84335593.219999999</v>
      </c>
      <c r="C26" s="54">
        <f t="shared" si="1"/>
        <v>14055932.199999999</v>
      </c>
      <c r="D26" s="55">
        <f t="shared" si="2"/>
        <v>0.2</v>
      </c>
      <c r="E26" s="63">
        <v>70279661.019999996</v>
      </c>
    </row>
    <row r="27" spans="1:6" ht="54" x14ac:dyDescent="0.25">
      <c r="A27" s="79" t="s">
        <v>30</v>
      </c>
      <c r="B27" s="74">
        <f t="shared" si="0"/>
        <v>87640677.969999999</v>
      </c>
      <c r="C27" s="54">
        <f t="shared" si="1"/>
        <v>14606779.66</v>
      </c>
      <c r="D27" s="55">
        <f t="shared" si="2"/>
        <v>0.2</v>
      </c>
      <c r="E27" s="63">
        <v>73033898.310000002</v>
      </c>
    </row>
    <row r="28" spans="1:6" ht="54" x14ac:dyDescent="0.25">
      <c r="A28" s="79" t="s">
        <v>31</v>
      </c>
      <c r="B28" s="74">
        <f t="shared" si="0"/>
        <v>91027118.640000001</v>
      </c>
      <c r="C28" s="54">
        <f t="shared" si="1"/>
        <v>15171186.439999999</v>
      </c>
      <c r="D28" s="55">
        <f t="shared" si="2"/>
        <v>0.2</v>
      </c>
      <c r="E28" s="63">
        <v>75855932.200000003</v>
      </c>
    </row>
    <row r="29" spans="1:6" ht="54" x14ac:dyDescent="0.25">
      <c r="A29" s="79" t="s">
        <v>32</v>
      </c>
      <c r="B29" s="74">
        <f t="shared" si="0"/>
        <v>100088135.59</v>
      </c>
      <c r="C29" s="54">
        <f t="shared" si="1"/>
        <v>16681355.93</v>
      </c>
      <c r="D29" s="55">
        <f t="shared" si="2"/>
        <v>0.2</v>
      </c>
      <c r="E29" s="63">
        <v>83406779.659999996</v>
      </c>
    </row>
    <row r="30" spans="1:6" ht="54.75" thickBot="1" x14ac:dyDescent="0.3">
      <c r="A30" s="80" t="s">
        <v>33</v>
      </c>
      <c r="B30" s="77">
        <f t="shared" si="0"/>
        <v>38722191.649999999</v>
      </c>
      <c r="C30" s="64">
        <f t="shared" si="1"/>
        <v>6453698.6100000003</v>
      </c>
      <c r="D30" s="65">
        <f t="shared" si="2"/>
        <v>0.2</v>
      </c>
      <c r="E30" s="66">
        <f>E4-E13-SUM(E16:E29)</f>
        <v>32268493.039999999</v>
      </c>
    </row>
    <row r="32" spans="1:6" s="125" customFormat="1" ht="36" x14ac:dyDescent="0.25">
      <c r="A32" s="125" t="s">
        <v>52</v>
      </c>
      <c r="B32" s="126"/>
      <c r="C32" s="126"/>
      <c r="D32" s="226" t="s">
        <v>53</v>
      </c>
      <c r="E32" s="226"/>
      <c r="F32" s="126"/>
    </row>
  </sheetData>
  <mergeCells count="7">
    <mergeCell ref="A1:E1"/>
    <mergeCell ref="D32:E32"/>
    <mergeCell ref="B2:E2"/>
    <mergeCell ref="A2:A3"/>
    <mergeCell ref="B7:E7"/>
    <mergeCell ref="B11:E11"/>
    <mergeCell ref="B12:E12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2FB6-FA0E-4D3B-A1DC-FD0AD6D2378D}">
  <sheetPr>
    <pageSetUpPr fitToPage="1"/>
  </sheetPr>
  <dimension ref="A1:AB205"/>
  <sheetViews>
    <sheetView workbookViewId="0">
      <pane xSplit="1" ySplit="2" topLeftCell="B3" activePane="bottomRight" state="frozen"/>
      <selection activeCell="G26" sqref="G26"/>
      <selection pane="topRight" activeCell="G26" sqref="G26"/>
      <selection pane="bottomLeft" activeCell="G26" sqref="G26"/>
      <selection pane="bottomRight" activeCell="G26" sqref="G26"/>
    </sheetView>
  </sheetViews>
  <sheetFormatPr defaultRowHeight="18" x14ac:dyDescent="0.25"/>
  <cols>
    <col min="1" max="1" width="12.6640625" customWidth="1"/>
    <col min="2" max="9" width="16.21875" style="32" customWidth="1"/>
    <col min="10" max="10" width="16.21875" style="48" customWidth="1"/>
    <col min="11" max="11" width="15.77734375" style="32" customWidth="1"/>
    <col min="12" max="13" width="15.77734375" customWidth="1"/>
    <col min="14" max="21" width="16.21875" style="32" hidden="1" customWidth="1"/>
  </cols>
  <sheetData>
    <row r="1" spans="1:28" s="118" customFormat="1" ht="24" thickBot="1" x14ac:dyDescent="0.4">
      <c r="A1" s="119" t="s">
        <v>47</v>
      </c>
      <c r="B1" s="120"/>
      <c r="C1" s="120"/>
      <c r="D1" s="120"/>
      <c r="E1" s="120"/>
      <c r="F1" s="120"/>
      <c r="G1" s="120"/>
      <c r="H1" s="120"/>
      <c r="I1" s="120"/>
      <c r="J1" s="121"/>
      <c r="K1" s="120"/>
      <c r="N1" s="120"/>
      <c r="O1" s="120"/>
      <c r="P1" s="120"/>
      <c r="Q1" s="120"/>
      <c r="R1" s="120"/>
      <c r="S1" s="120"/>
      <c r="T1" s="120"/>
      <c r="U1" s="120"/>
    </row>
    <row r="2" spans="1:28" ht="90.75" thickBot="1" x14ac:dyDescent="0.3">
      <c r="A2" s="150" t="s">
        <v>89</v>
      </c>
      <c r="B2" s="112" t="s">
        <v>40</v>
      </c>
      <c r="C2" s="99" t="s">
        <v>39</v>
      </c>
      <c r="D2" s="101" t="s">
        <v>41</v>
      </c>
      <c r="E2" s="112" t="s">
        <v>42</v>
      </c>
      <c r="F2" s="99" t="s">
        <v>43</v>
      </c>
      <c r="G2" s="101" t="s">
        <v>38</v>
      </c>
      <c r="H2" s="107" t="s">
        <v>44</v>
      </c>
      <c r="I2" s="99" t="s">
        <v>45</v>
      </c>
      <c r="J2" s="100" t="s">
        <v>46</v>
      </c>
      <c r="K2" s="101" t="s">
        <v>6</v>
      </c>
      <c r="L2" s="101" t="s">
        <v>62</v>
      </c>
      <c r="M2" s="101" t="s">
        <v>63</v>
      </c>
      <c r="N2" s="112" t="str">
        <f>имущество!C3</f>
        <v>00-000003</v>
      </c>
      <c r="O2" s="99" t="str">
        <f>имущество!C4</f>
        <v>00-000004</v>
      </c>
      <c r="P2" s="99" t="str">
        <f>имущество!C5</f>
        <v>00-000005</v>
      </c>
      <c r="Q2" s="99" t="str">
        <f>имущество!C6</f>
        <v>00-000006</v>
      </c>
      <c r="R2" s="99" t="str">
        <f>имущество!C7</f>
        <v>00-000007</v>
      </c>
      <c r="S2" s="99" t="str">
        <f>имущество!C8</f>
        <v>00-000008</v>
      </c>
      <c r="T2" s="99" t="str">
        <f>имущество!C9</f>
        <v>00-000010</v>
      </c>
      <c r="U2" s="101" t="str">
        <f>имущество!C10</f>
        <v>00-000009</v>
      </c>
    </row>
    <row r="3" spans="1:28" x14ac:dyDescent="0.25">
      <c r="A3" s="147">
        <v>43405</v>
      </c>
      <c r="B3" s="113">
        <f>Лист2!E8</f>
        <v>2418661.34</v>
      </c>
      <c r="C3" s="96">
        <f>B3*J3/100</f>
        <v>435359.04</v>
      </c>
      <c r="D3" s="97">
        <f>C3+B3</f>
        <v>2854020.38</v>
      </c>
      <c r="E3" s="113">
        <f>H3-B3</f>
        <v>1166854.8400000001</v>
      </c>
      <c r="F3" s="96">
        <f>E3*J3/100</f>
        <v>210033.87</v>
      </c>
      <c r="G3" s="97">
        <f>F3+E3</f>
        <v>1376888.71</v>
      </c>
      <c r="H3" s="108">
        <f>Лист2!E13/2</f>
        <v>3585516.18</v>
      </c>
      <c r="I3" s="96">
        <f>K3-H3</f>
        <v>645392.91</v>
      </c>
      <c r="J3" s="214">
        <v>18</v>
      </c>
      <c r="K3" s="97">
        <f>H3*(1+J3/100)</f>
        <v>4230909.09</v>
      </c>
      <c r="L3" s="97">
        <f>K203</f>
        <v>1089994179.8599999</v>
      </c>
      <c r="M3" s="97"/>
      <c r="N3" s="113">
        <f>$I3*имущество!$F$3/имущество!$F$11</f>
        <v>215274.7</v>
      </c>
      <c r="O3" s="96">
        <f>$I3*имущество!$F$4/имущество!$F$11</f>
        <v>208484.22</v>
      </c>
      <c r="P3" s="96">
        <f>$I3*имущество!$F$5/имущество!$F$11</f>
        <v>201347.02</v>
      </c>
      <c r="Q3" s="96">
        <f>$I3*имущество!$F$6/имущество!$F$11</f>
        <v>1950.09</v>
      </c>
      <c r="R3" s="96">
        <f>$I3*имущество!$F$7/имущество!$F$11</f>
        <v>1950.09</v>
      </c>
      <c r="S3" s="96">
        <f>$I3*имущество!$F$8/имущество!$F$11</f>
        <v>1950.09</v>
      </c>
      <c r="T3" s="96">
        <f>$I3*имущество!$F$9/имущество!$F$11</f>
        <v>11832.69</v>
      </c>
      <c r="U3" s="97">
        <f>I3-SUM(N3:T3)</f>
        <v>2604.0100000000002</v>
      </c>
    </row>
    <row r="4" spans="1:28" ht="18.75" thickBot="1" x14ac:dyDescent="0.3">
      <c r="A4" s="148">
        <v>43435</v>
      </c>
      <c r="B4" s="114">
        <f>B3</f>
        <v>2418661.34</v>
      </c>
      <c r="C4" s="102">
        <f>B4*J4/100</f>
        <v>435359.04</v>
      </c>
      <c r="D4" s="103">
        <f>C4+B4</f>
        <v>2854020.38</v>
      </c>
      <c r="E4" s="114">
        <f>H4-B4</f>
        <v>1166854.8400000001</v>
      </c>
      <c r="F4" s="102">
        <f>E4*J4/100</f>
        <v>210033.87</v>
      </c>
      <c r="G4" s="103">
        <f>F4+E4</f>
        <v>1376888.71</v>
      </c>
      <c r="H4" s="109">
        <f>H3</f>
        <v>3585516.18</v>
      </c>
      <c r="I4" s="102">
        <f>K4-H4</f>
        <v>645392.91</v>
      </c>
      <c r="J4" s="215">
        <v>18</v>
      </c>
      <c r="K4" s="103">
        <f>H4*(1+J4/100)</f>
        <v>4230909.09</v>
      </c>
      <c r="L4" s="103">
        <f>L3</f>
        <v>1089994179.8599999</v>
      </c>
      <c r="M4" s="103"/>
      <c r="N4" s="114">
        <f>$I4*имущество!$F$3/имущество!$F$11</f>
        <v>215274.7</v>
      </c>
      <c r="O4" s="102">
        <f>$I4*имущество!$F$4/имущество!$F$11</f>
        <v>208484.22</v>
      </c>
      <c r="P4" s="102">
        <f>$I4*имущество!$F$5/имущество!$F$11</f>
        <v>201347.02</v>
      </c>
      <c r="Q4" s="102">
        <f>$I4*имущество!$F$6/имущество!$F$11</f>
        <v>1950.09</v>
      </c>
      <c r="R4" s="102">
        <f>$I4*имущество!$F$7/имущество!$F$11</f>
        <v>1950.09</v>
      </c>
      <c r="S4" s="102">
        <f>$I4*имущество!$F$8/имущество!$F$11</f>
        <v>1950.09</v>
      </c>
      <c r="T4" s="102">
        <f>$I4*имущество!$F$9/имущество!$F$11</f>
        <v>11832.69</v>
      </c>
      <c r="U4" s="103">
        <f>I4-SUM(N4:T4)</f>
        <v>2604.0100000000002</v>
      </c>
    </row>
    <row r="5" spans="1:28" ht="18.75" thickBot="1" x14ac:dyDescent="0.3">
      <c r="A5" s="106">
        <v>2018</v>
      </c>
      <c r="B5" s="115">
        <f>SUM(B3:B4)</f>
        <v>4837322.68</v>
      </c>
      <c r="C5" s="104">
        <f t="shared" ref="C5" si="0">SUM(C3:C4)</f>
        <v>870718.08</v>
      </c>
      <c r="D5" s="105">
        <f t="shared" ref="D5" si="1">SUM(D3:D4)</f>
        <v>5708040.7599999998</v>
      </c>
      <c r="E5" s="115">
        <f t="shared" ref="E5:K5" si="2">SUM(E3:E4)</f>
        <v>2333709.6800000002</v>
      </c>
      <c r="F5" s="104">
        <f t="shared" ref="F5" si="3">SUM(F3:F4)</f>
        <v>420067.74</v>
      </c>
      <c r="G5" s="105">
        <f t="shared" ref="G5" si="4">SUM(G3:G4)</f>
        <v>2753777.42</v>
      </c>
      <c r="H5" s="110">
        <f t="shared" si="2"/>
        <v>7171032.3600000003</v>
      </c>
      <c r="I5" s="104">
        <f t="shared" si="2"/>
        <v>1290785.82</v>
      </c>
      <c r="J5" s="216">
        <f>J4</f>
        <v>18</v>
      </c>
      <c r="K5" s="105">
        <f t="shared" si="2"/>
        <v>8461818.1799999997</v>
      </c>
      <c r="L5" s="105">
        <f>L4</f>
        <v>1089994179.8599999</v>
      </c>
      <c r="M5" s="105">
        <f>L5-K3-K4-K6-K7-K8-K9-K10-K11-K12-K13-K14</f>
        <v>1039766259.95</v>
      </c>
      <c r="N5" s="115">
        <f>SUM(N3:N4)</f>
        <v>430549.4</v>
      </c>
      <c r="O5" s="104">
        <f t="shared" ref="O5:U5" si="5">SUM(O3:O4)</f>
        <v>416968.44</v>
      </c>
      <c r="P5" s="104">
        <f t="shared" si="5"/>
        <v>402694.04</v>
      </c>
      <c r="Q5" s="104">
        <f t="shared" si="5"/>
        <v>3900.18</v>
      </c>
      <c r="R5" s="104">
        <f t="shared" si="5"/>
        <v>3900.18</v>
      </c>
      <c r="S5" s="104">
        <f t="shared" si="5"/>
        <v>3900.18</v>
      </c>
      <c r="T5" s="104">
        <f t="shared" si="5"/>
        <v>23665.38</v>
      </c>
      <c r="U5" s="105">
        <f t="shared" si="5"/>
        <v>5208.0200000000004</v>
      </c>
    </row>
    <row r="6" spans="1:28" x14ac:dyDescent="0.25">
      <c r="A6" s="147">
        <v>43466</v>
      </c>
      <c r="B6" s="113">
        <f>B4</f>
        <v>2418661.34</v>
      </c>
      <c r="C6" s="96">
        <f>B6*J6/100</f>
        <v>483732.27</v>
      </c>
      <c r="D6" s="97">
        <f>C6+B6</f>
        <v>2902393.61</v>
      </c>
      <c r="E6" s="113">
        <f>H6-B6</f>
        <v>1448570.3</v>
      </c>
      <c r="F6" s="96">
        <f>E6*J6/100</f>
        <v>289714.06</v>
      </c>
      <c r="G6" s="97">
        <f>F6+E6</f>
        <v>1738284.36</v>
      </c>
      <c r="H6" s="108">
        <f>H18/12</f>
        <v>3867231.64</v>
      </c>
      <c r="I6" s="96">
        <f>F6+C6</f>
        <v>773446.33</v>
      </c>
      <c r="J6" s="214">
        <v>20</v>
      </c>
      <c r="K6" s="97">
        <f>I6+H6</f>
        <v>4640677.97</v>
      </c>
      <c r="L6" s="97">
        <f>L5-SUM(K3:K4)</f>
        <v>1081532361.6800001</v>
      </c>
      <c r="M6" s="97"/>
      <c r="N6" s="113">
        <f>$I6*имущество!$F$3/имущество!$F$11</f>
        <v>257987.69</v>
      </c>
      <c r="O6" s="96">
        <f>$I6*имущество!$F$4/имущество!$F$11</f>
        <v>249849.9</v>
      </c>
      <c r="P6" s="96">
        <f>$I6*имущество!$F$5/имущество!$F$11</f>
        <v>241296.6</v>
      </c>
      <c r="Q6" s="96">
        <f>$I6*имущество!$F$6/имущество!$F$11</f>
        <v>2337.0100000000002</v>
      </c>
      <c r="R6" s="96">
        <f>$I6*имущество!$F$7/имущество!$F$11</f>
        <v>2337.0100000000002</v>
      </c>
      <c r="S6" s="96">
        <f>$I6*имущество!$F$8/имущество!$F$11</f>
        <v>2337.0100000000002</v>
      </c>
      <c r="T6" s="96">
        <f>$I6*имущество!$F$9/имущество!$F$11</f>
        <v>14180.43</v>
      </c>
      <c r="U6" s="97">
        <f t="shared" ref="U6:U17" si="6">I6-SUM(N6:T6)</f>
        <v>3120.68</v>
      </c>
    </row>
    <row r="7" spans="1:28" x14ac:dyDescent="0.25">
      <c r="A7" s="149">
        <v>43497</v>
      </c>
      <c r="B7" s="116">
        <f>B6</f>
        <v>2418661.34</v>
      </c>
      <c r="C7" s="95">
        <f t="shared" ref="C7:C17" si="7">B7*J7/100</f>
        <v>483732.27</v>
      </c>
      <c r="D7" s="98">
        <f t="shared" ref="D7:D17" si="8">C7+B7</f>
        <v>2902393.61</v>
      </c>
      <c r="E7" s="116">
        <f t="shared" ref="E7:E17" si="9">H7-B7</f>
        <v>1448570.3</v>
      </c>
      <c r="F7" s="95">
        <f t="shared" ref="F7:F17" si="10">E7*J7/100</f>
        <v>289714.06</v>
      </c>
      <c r="G7" s="98">
        <f t="shared" ref="G7:G17" si="11">F7+E7</f>
        <v>1738284.36</v>
      </c>
      <c r="H7" s="111">
        <f>H6</f>
        <v>3867231.64</v>
      </c>
      <c r="I7" s="95">
        <f t="shared" ref="I7:I17" si="12">F7+C7</f>
        <v>773446.33</v>
      </c>
      <c r="J7" s="217">
        <v>20</v>
      </c>
      <c r="K7" s="98">
        <f t="shared" ref="K7:K17" si="13">I7+H7</f>
        <v>4640677.97</v>
      </c>
      <c r="L7" s="98">
        <f>L6</f>
        <v>1081532361.6800001</v>
      </c>
      <c r="M7" s="98"/>
      <c r="N7" s="116">
        <f>$I7*имущество!$F$3/имущество!$F$11</f>
        <v>257987.69</v>
      </c>
      <c r="O7" s="95">
        <f>$I7*имущество!$F$4/имущество!$F$11</f>
        <v>249849.9</v>
      </c>
      <c r="P7" s="95">
        <f>$I7*имущество!$F$5/имущество!$F$11</f>
        <v>241296.6</v>
      </c>
      <c r="Q7" s="95">
        <f>$I7*имущество!$F$6/имущество!$F$11</f>
        <v>2337.0100000000002</v>
      </c>
      <c r="R7" s="95">
        <f>$I7*имущество!$F$7/имущество!$F$11</f>
        <v>2337.0100000000002</v>
      </c>
      <c r="S7" s="95">
        <f>$I7*имущество!$F$8/имущество!$F$11</f>
        <v>2337.0100000000002</v>
      </c>
      <c r="T7" s="95">
        <f>$I7*имущество!$F$9/имущество!$F$11</f>
        <v>14180.43</v>
      </c>
      <c r="U7" s="98">
        <f t="shared" si="6"/>
        <v>3120.68</v>
      </c>
    </row>
    <row r="8" spans="1:28" x14ac:dyDescent="0.25">
      <c r="A8" s="149">
        <v>43525</v>
      </c>
      <c r="B8" s="116">
        <f t="shared" ref="B8:B17" si="14">B7</f>
        <v>2418661.34</v>
      </c>
      <c r="C8" s="95">
        <f t="shared" si="7"/>
        <v>483732.27</v>
      </c>
      <c r="D8" s="98">
        <f t="shared" si="8"/>
        <v>2902393.61</v>
      </c>
      <c r="E8" s="116">
        <f t="shared" si="9"/>
        <v>1448570.3</v>
      </c>
      <c r="F8" s="95">
        <f t="shared" si="10"/>
        <v>289714.06</v>
      </c>
      <c r="G8" s="98">
        <f t="shared" si="11"/>
        <v>1738284.36</v>
      </c>
      <c r="H8" s="111">
        <f t="shared" ref="H8:H16" si="15">H7</f>
        <v>3867231.64</v>
      </c>
      <c r="I8" s="95">
        <f t="shared" si="12"/>
        <v>773446.33</v>
      </c>
      <c r="J8" s="217">
        <v>20</v>
      </c>
      <c r="K8" s="98">
        <f t="shared" si="13"/>
        <v>4640677.97</v>
      </c>
      <c r="L8" s="98">
        <f>L7</f>
        <v>1081532361.6800001</v>
      </c>
      <c r="M8" s="98">
        <f t="shared" ref="M8:M17" si="16">L21</f>
        <v>1025844226.0599999</v>
      </c>
      <c r="N8" s="116">
        <f>$I8*имущество!$F$3/имущество!$F$11</f>
        <v>257987.69</v>
      </c>
      <c r="O8" s="95">
        <f>$I8*имущество!$F$4/имущество!$F$11</f>
        <v>249849.9</v>
      </c>
      <c r="P8" s="95">
        <f>$I8*имущество!$F$5/имущество!$F$11</f>
        <v>241296.6</v>
      </c>
      <c r="Q8" s="95">
        <f>$I8*имущество!$F$6/имущество!$F$11</f>
        <v>2337.0100000000002</v>
      </c>
      <c r="R8" s="95">
        <f>$I8*имущество!$F$7/имущество!$F$11</f>
        <v>2337.0100000000002</v>
      </c>
      <c r="S8" s="95">
        <f>$I8*имущество!$F$8/имущество!$F$11</f>
        <v>2337.0100000000002</v>
      </c>
      <c r="T8" s="95">
        <f>$I8*имущество!$F$9/имущество!$F$11</f>
        <v>14180.43</v>
      </c>
      <c r="U8" s="98">
        <f t="shared" si="6"/>
        <v>3120.68</v>
      </c>
    </row>
    <row r="9" spans="1:28" x14ac:dyDescent="0.25">
      <c r="A9" s="149">
        <v>43556</v>
      </c>
      <c r="B9" s="116">
        <f t="shared" si="14"/>
        <v>2418661.34</v>
      </c>
      <c r="C9" s="95">
        <f t="shared" si="7"/>
        <v>483732.27</v>
      </c>
      <c r="D9" s="98">
        <f t="shared" si="8"/>
        <v>2902393.61</v>
      </c>
      <c r="E9" s="116">
        <f t="shared" si="9"/>
        <v>1448570.3</v>
      </c>
      <c r="F9" s="95">
        <f t="shared" si="10"/>
        <v>289714.06</v>
      </c>
      <c r="G9" s="98">
        <f t="shared" si="11"/>
        <v>1738284.36</v>
      </c>
      <c r="H9" s="111">
        <f t="shared" si="15"/>
        <v>3867231.64</v>
      </c>
      <c r="I9" s="95">
        <f t="shared" si="12"/>
        <v>773446.33</v>
      </c>
      <c r="J9" s="217">
        <v>20</v>
      </c>
      <c r="K9" s="98">
        <f t="shared" si="13"/>
        <v>4640677.97</v>
      </c>
      <c r="L9" s="98">
        <f>L8-SUM(K6:K8)</f>
        <v>1067610327.77</v>
      </c>
      <c r="M9" s="98"/>
      <c r="N9" s="116">
        <f>$I9*имущество!$F$3/имущество!$F$11</f>
        <v>257987.69</v>
      </c>
      <c r="O9" s="95">
        <f>$I9*имущество!$F$4/имущество!$F$11</f>
        <v>249849.9</v>
      </c>
      <c r="P9" s="95">
        <f>$I9*имущество!$F$5/имущество!$F$11</f>
        <v>241296.6</v>
      </c>
      <c r="Q9" s="95">
        <f>$I9*имущество!$F$6/имущество!$F$11</f>
        <v>2337.0100000000002</v>
      </c>
      <c r="R9" s="95">
        <f>$I9*имущество!$F$7/имущество!$F$11</f>
        <v>2337.0100000000002</v>
      </c>
      <c r="S9" s="95">
        <f>$I9*имущество!$F$8/имущество!$F$11</f>
        <v>2337.0100000000002</v>
      </c>
      <c r="T9" s="95">
        <f>$I9*имущество!$F$9/имущество!$F$11</f>
        <v>14180.43</v>
      </c>
      <c r="U9" s="98">
        <f t="shared" si="6"/>
        <v>3120.68</v>
      </c>
    </row>
    <row r="10" spans="1:28" x14ac:dyDescent="0.25">
      <c r="A10" s="149">
        <v>43586</v>
      </c>
      <c r="B10" s="116">
        <f t="shared" si="14"/>
        <v>2418661.34</v>
      </c>
      <c r="C10" s="95">
        <f t="shared" si="7"/>
        <v>483732.27</v>
      </c>
      <c r="D10" s="98">
        <f t="shared" si="8"/>
        <v>2902393.61</v>
      </c>
      <c r="E10" s="116">
        <f t="shared" si="9"/>
        <v>1448570.3</v>
      </c>
      <c r="F10" s="95">
        <f t="shared" si="10"/>
        <v>289714.06</v>
      </c>
      <c r="G10" s="98">
        <f t="shared" si="11"/>
        <v>1738284.36</v>
      </c>
      <c r="H10" s="111">
        <f t="shared" si="15"/>
        <v>3867231.64</v>
      </c>
      <c r="I10" s="95">
        <f t="shared" si="12"/>
        <v>773446.33</v>
      </c>
      <c r="J10" s="217">
        <v>20</v>
      </c>
      <c r="K10" s="98">
        <f t="shared" si="13"/>
        <v>4640677.97</v>
      </c>
      <c r="L10" s="98">
        <f>L9</f>
        <v>1067610327.77</v>
      </c>
      <c r="M10" s="98"/>
      <c r="N10" s="116">
        <f>$I10*имущество!$F$3/имущество!$F$11</f>
        <v>257987.69</v>
      </c>
      <c r="O10" s="95">
        <f>$I10*имущество!$F$4/имущество!$F$11</f>
        <v>249849.9</v>
      </c>
      <c r="P10" s="95">
        <f>$I10*имущество!$F$5/имущество!$F$11</f>
        <v>241296.6</v>
      </c>
      <c r="Q10" s="95">
        <f>$I10*имущество!$F$6/имущество!$F$11</f>
        <v>2337.0100000000002</v>
      </c>
      <c r="R10" s="95">
        <f>$I10*имущество!$F$7/имущество!$F$11</f>
        <v>2337.0100000000002</v>
      </c>
      <c r="S10" s="95">
        <f>$I10*имущество!$F$8/имущество!$F$11</f>
        <v>2337.0100000000002</v>
      </c>
      <c r="T10" s="95">
        <f>$I10*имущество!$F$9/имущество!$F$11</f>
        <v>14180.43</v>
      </c>
      <c r="U10" s="98">
        <f t="shared" si="6"/>
        <v>3120.68</v>
      </c>
    </row>
    <row r="11" spans="1:28" x14ac:dyDescent="0.25">
      <c r="A11" s="149">
        <v>43617</v>
      </c>
      <c r="B11" s="116">
        <f t="shared" si="14"/>
        <v>2418661.34</v>
      </c>
      <c r="C11" s="95">
        <f t="shared" si="7"/>
        <v>483732.27</v>
      </c>
      <c r="D11" s="98">
        <f t="shared" si="8"/>
        <v>2902393.61</v>
      </c>
      <c r="E11" s="116">
        <f t="shared" si="9"/>
        <v>1448570.3</v>
      </c>
      <c r="F11" s="95">
        <f t="shared" si="10"/>
        <v>289714.06</v>
      </c>
      <c r="G11" s="98">
        <f t="shared" si="11"/>
        <v>1738284.36</v>
      </c>
      <c r="H11" s="111">
        <f t="shared" si="15"/>
        <v>3867231.64</v>
      </c>
      <c r="I11" s="95">
        <f t="shared" si="12"/>
        <v>773446.33</v>
      </c>
      <c r="J11" s="217">
        <v>20</v>
      </c>
      <c r="K11" s="98">
        <f t="shared" si="13"/>
        <v>4640677.97</v>
      </c>
      <c r="L11" s="98">
        <f>L10</f>
        <v>1067610327.77</v>
      </c>
      <c r="M11" s="98">
        <f t="shared" si="16"/>
        <v>1011284056.54</v>
      </c>
      <c r="N11" s="116">
        <f>$I11*имущество!$F$3/имущество!$F$11</f>
        <v>257987.69</v>
      </c>
      <c r="O11" s="95">
        <f>$I11*имущество!$F$4/имущество!$F$11</f>
        <v>249849.9</v>
      </c>
      <c r="P11" s="95">
        <f>$I11*имущество!$F$5/имущество!$F$11</f>
        <v>241296.6</v>
      </c>
      <c r="Q11" s="95">
        <f>$I11*имущество!$F$6/имущество!$F$11</f>
        <v>2337.0100000000002</v>
      </c>
      <c r="R11" s="95">
        <f>$I11*имущество!$F$7/имущество!$F$11</f>
        <v>2337.0100000000002</v>
      </c>
      <c r="S11" s="95">
        <f>$I11*имущество!$F$8/имущество!$F$11</f>
        <v>2337.0100000000002</v>
      </c>
      <c r="T11" s="95">
        <f>$I11*имущество!$F$9/имущество!$F$11</f>
        <v>14180.43</v>
      </c>
      <c r="U11" s="98">
        <f t="shared" si="6"/>
        <v>3120.68</v>
      </c>
    </row>
    <row r="12" spans="1:28" x14ac:dyDescent="0.25">
      <c r="A12" s="149">
        <v>43647</v>
      </c>
      <c r="B12" s="116">
        <f t="shared" si="14"/>
        <v>2418661.34</v>
      </c>
      <c r="C12" s="95">
        <f t="shared" si="7"/>
        <v>483732.27</v>
      </c>
      <c r="D12" s="98">
        <f t="shared" si="8"/>
        <v>2902393.61</v>
      </c>
      <c r="E12" s="116">
        <f t="shared" si="9"/>
        <v>1448570.3</v>
      </c>
      <c r="F12" s="95">
        <f t="shared" si="10"/>
        <v>289714.06</v>
      </c>
      <c r="G12" s="98">
        <f t="shared" si="11"/>
        <v>1738284.36</v>
      </c>
      <c r="H12" s="111">
        <f t="shared" si="15"/>
        <v>3867231.64</v>
      </c>
      <c r="I12" s="95">
        <f t="shared" si="12"/>
        <v>773446.33</v>
      </c>
      <c r="J12" s="217">
        <v>20</v>
      </c>
      <c r="K12" s="98">
        <f t="shared" si="13"/>
        <v>4640677.97</v>
      </c>
      <c r="L12" s="98">
        <f>L11-SUM(K9:K11)</f>
        <v>1053688293.86</v>
      </c>
      <c r="M12" s="98"/>
      <c r="N12" s="116">
        <f>$I12*имущество!$F$3/имущество!$F$11</f>
        <v>257987.69</v>
      </c>
      <c r="O12" s="95">
        <f>$I12*имущество!$F$4/имущество!$F$11</f>
        <v>249849.9</v>
      </c>
      <c r="P12" s="95">
        <f>$I12*имущество!$F$5/имущество!$F$11</f>
        <v>241296.6</v>
      </c>
      <c r="Q12" s="95">
        <f>$I12*имущество!$F$6/имущество!$F$11</f>
        <v>2337.0100000000002</v>
      </c>
      <c r="R12" s="95">
        <f>$I12*имущество!$F$7/имущество!$F$11</f>
        <v>2337.0100000000002</v>
      </c>
      <c r="S12" s="95">
        <f>$I12*имущество!$F$8/имущество!$F$11</f>
        <v>2337.0100000000002</v>
      </c>
      <c r="T12" s="95">
        <f>$I12*имущество!$F$9/имущество!$F$11</f>
        <v>14180.43</v>
      </c>
      <c r="U12" s="98">
        <f t="shared" si="6"/>
        <v>3120.68</v>
      </c>
    </row>
    <row r="13" spans="1:28" x14ac:dyDescent="0.25">
      <c r="A13" s="149">
        <v>43678</v>
      </c>
      <c r="B13" s="116">
        <f t="shared" si="14"/>
        <v>2418661.34</v>
      </c>
      <c r="C13" s="95">
        <f t="shared" si="7"/>
        <v>483732.27</v>
      </c>
      <c r="D13" s="98">
        <f t="shared" si="8"/>
        <v>2902393.61</v>
      </c>
      <c r="E13" s="116">
        <f t="shared" si="9"/>
        <v>1448570.3</v>
      </c>
      <c r="F13" s="95">
        <f t="shared" si="10"/>
        <v>289714.06</v>
      </c>
      <c r="G13" s="98">
        <f t="shared" si="11"/>
        <v>1738284.36</v>
      </c>
      <c r="H13" s="111">
        <f t="shared" si="15"/>
        <v>3867231.64</v>
      </c>
      <c r="I13" s="95">
        <f t="shared" si="12"/>
        <v>773446.33</v>
      </c>
      <c r="J13" s="217">
        <v>20</v>
      </c>
      <c r="K13" s="98">
        <f t="shared" si="13"/>
        <v>4640677.97</v>
      </c>
      <c r="L13" s="98">
        <f>L12</f>
        <v>1053688293.86</v>
      </c>
      <c r="M13" s="98"/>
      <c r="N13" s="116">
        <f>$I13*имущество!$F$3/имущество!$F$11</f>
        <v>257987.69</v>
      </c>
      <c r="O13" s="95">
        <f>$I13*имущество!$F$4/имущество!$F$11</f>
        <v>249849.9</v>
      </c>
      <c r="P13" s="95">
        <f>$I13*имущество!$F$5/имущество!$F$11</f>
        <v>241296.6</v>
      </c>
      <c r="Q13" s="95">
        <f>$I13*имущество!$F$6/имущество!$F$11</f>
        <v>2337.0100000000002</v>
      </c>
      <c r="R13" s="95">
        <f>$I13*имущество!$F$7/имущество!$F$11</f>
        <v>2337.0100000000002</v>
      </c>
      <c r="S13" s="95">
        <f>$I13*имущество!$F$8/имущество!$F$11</f>
        <v>2337.0100000000002</v>
      </c>
      <c r="T13" s="95">
        <f>$I13*имущество!$F$9/имущество!$F$11</f>
        <v>14180.43</v>
      </c>
      <c r="U13" s="98">
        <f t="shared" si="6"/>
        <v>3120.68</v>
      </c>
      <c r="AB13">
        <f>18*80</f>
        <v>1440</v>
      </c>
    </row>
    <row r="14" spans="1:28" x14ac:dyDescent="0.25">
      <c r="A14" s="149">
        <v>43709</v>
      </c>
      <c r="B14" s="116">
        <f t="shared" si="14"/>
        <v>2418661.34</v>
      </c>
      <c r="C14" s="95">
        <f t="shared" si="7"/>
        <v>483732.27</v>
      </c>
      <c r="D14" s="98">
        <f t="shared" si="8"/>
        <v>2902393.61</v>
      </c>
      <c r="E14" s="116">
        <f t="shared" si="9"/>
        <v>1448570.3</v>
      </c>
      <c r="F14" s="95">
        <f t="shared" si="10"/>
        <v>289714.06</v>
      </c>
      <c r="G14" s="98">
        <f t="shared" si="11"/>
        <v>1738284.36</v>
      </c>
      <c r="H14" s="111">
        <f t="shared" si="15"/>
        <v>3867231.64</v>
      </c>
      <c r="I14" s="95">
        <f t="shared" si="12"/>
        <v>773446.33</v>
      </c>
      <c r="J14" s="217">
        <v>20</v>
      </c>
      <c r="K14" s="98">
        <f t="shared" si="13"/>
        <v>4640677.97</v>
      </c>
      <c r="L14" s="98">
        <f>L13</f>
        <v>1053688293.86</v>
      </c>
      <c r="M14" s="98">
        <f t="shared" si="16"/>
        <v>996723887.01999998</v>
      </c>
      <c r="N14" s="116">
        <f>$I14*имущество!$F$3/имущество!$F$11</f>
        <v>257987.69</v>
      </c>
      <c r="O14" s="95">
        <f>$I14*имущество!$F$4/имущество!$F$11</f>
        <v>249849.9</v>
      </c>
      <c r="P14" s="95">
        <f>$I14*имущество!$F$5/имущество!$F$11</f>
        <v>241296.6</v>
      </c>
      <c r="Q14" s="95">
        <f>$I14*имущество!$F$6/имущество!$F$11</f>
        <v>2337.0100000000002</v>
      </c>
      <c r="R14" s="95">
        <f>$I14*имущество!$F$7/имущество!$F$11</f>
        <v>2337.0100000000002</v>
      </c>
      <c r="S14" s="95">
        <f>$I14*имущество!$F$8/имущество!$F$11</f>
        <v>2337.0100000000002</v>
      </c>
      <c r="T14" s="95">
        <f>$I14*имущество!$F$9/имущество!$F$11</f>
        <v>14180.43</v>
      </c>
      <c r="U14" s="98">
        <f t="shared" si="6"/>
        <v>3120.68</v>
      </c>
    </row>
    <row r="15" spans="1:28" x14ac:dyDescent="0.25">
      <c r="A15" s="149">
        <v>43739</v>
      </c>
      <c r="B15" s="116">
        <f t="shared" si="14"/>
        <v>2418661.34</v>
      </c>
      <c r="C15" s="95">
        <f t="shared" si="7"/>
        <v>483732.27</v>
      </c>
      <c r="D15" s="98">
        <f t="shared" si="8"/>
        <v>2902393.61</v>
      </c>
      <c r="E15" s="116">
        <f t="shared" si="9"/>
        <v>1448570.3</v>
      </c>
      <c r="F15" s="95">
        <f t="shared" si="10"/>
        <v>289714.06</v>
      </c>
      <c r="G15" s="98">
        <f t="shared" si="11"/>
        <v>1738284.36</v>
      </c>
      <c r="H15" s="111">
        <f t="shared" si="15"/>
        <v>3867231.64</v>
      </c>
      <c r="I15" s="95">
        <f t="shared" si="12"/>
        <v>773446.33</v>
      </c>
      <c r="J15" s="217">
        <v>20</v>
      </c>
      <c r="K15" s="98">
        <f t="shared" si="13"/>
        <v>4640677.97</v>
      </c>
      <c r="L15" s="98">
        <f>L14-SUM(K12:K14)</f>
        <v>1039766259.95</v>
      </c>
      <c r="M15" s="98"/>
      <c r="N15" s="116">
        <f>$I15*имущество!$F$3/имущество!$F$11</f>
        <v>257987.69</v>
      </c>
      <c r="O15" s="95">
        <f>$I15*имущество!$F$4/имущество!$F$11</f>
        <v>249849.9</v>
      </c>
      <c r="P15" s="95">
        <f>$I15*имущество!$F$5/имущество!$F$11</f>
        <v>241296.6</v>
      </c>
      <c r="Q15" s="95">
        <f>$I15*имущество!$F$6/имущество!$F$11</f>
        <v>2337.0100000000002</v>
      </c>
      <c r="R15" s="95">
        <f>$I15*имущество!$F$7/имущество!$F$11</f>
        <v>2337.0100000000002</v>
      </c>
      <c r="S15" s="95">
        <f>$I15*имущество!$F$8/имущество!$F$11</f>
        <v>2337.0100000000002</v>
      </c>
      <c r="T15" s="95">
        <f>$I15*имущество!$F$9/имущество!$F$11</f>
        <v>14180.43</v>
      </c>
      <c r="U15" s="98">
        <f t="shared" si="6"/>
        <v>3120.68</v>
      </c>
    </row>
    <row r="16" spans="1:28" x14ac:dyDescent="0.25">
      <c r="A16" s="149">
        <v>43770</v>
      </c>
      <c r="B16" s="116">
        <f t="shared" si="14"/>
        <v>2418661.34</v>
      </c>
      <c r="C16" s="95">
        <f t="shared" si="7"/>
        <v>483732.27</v>
      </c>
      <c r="D16" s="98">
        <f t="shared" si="8"/>
        <v>2902393.61</v>
      </c>
      <c r="E16" s="116">
        <f t="shared" si="9"/>
        <v>1448570.3</v>
      </c>
      <c r="F16" s="95">
        <f t="shared" si="10"/>
        <v>289714.06</v>
      </c>
      <c r="G16" s="98">
        <f t="shared" si="11"/>
        <v>1738284.36</v>
      </c>
      <c r="H16" s="111">
        <f t="shared" si="15"/>
        <v>3867231.64</v>
      </c>
      <c r="I16" s="95">
        <f t="shared" si="12"/>
        <v>773446.33</v>
      </c>
      <c r="J16" s="217">
        <v>20</v>
      </c>
      <c r="K16" s="98">
        <f t="shared" si="13"/>
        <v>4640677.97</v>
      </c>
      <c r="L16" s="98">
        <f>L15</f>
        <v>1039766259.95</v>
      </c>
      <c r="M16" s="98"/>
      <c r="N16" s="116">
        <f>$I16*имущество!$F$3/имущество!$F$11</f>
        <v>257987.69</v>
      </c>
      <c r="O16" s="95">
        <f>$I16*имущество!$F$4/имущество!$F$11</f>
        <v>249849.9</v>
      </c>
      <c r="P16" s="95">
        <f>$I16*имущество!$F$5/имущество!$F$11</f>
        <v>241296.6</v>
      </c>
      <c r="Q16" s="95">
        <f>$I16*имущество!$F$6/имущество!$F$11</f>
        <v>2337.0100000000002</v>
      </c>
      <c r="R16" s="95">
        <f>$I16*имущество!$F$7/имущество!$F$11</f>
        <v>2337.0100000000002</v>
      </c>
      <c r="S16" s="95">
        <f>$I16*имущество!$F$8/имущество!$F$11</f>
        <v>2337.0100000000002</v>
      </c>
      <c r="T16" s="95">
        <f>$I16*имущество!$F$9/имущество!$F$11</f>
        <v>14180.43</v>
      </c>
      <c r="U16" s="98">
        <f t="shared" si="6"/>
        <v>3120.68</v>
      </c>
    </row>
    <row r="17" spans="1:21" ht="18.75" thickBot="1" x14ac:dyDescent="0.3">
      <c r="A17" s="148">
        <v>43800</v>
      </c>
      <c r="B17" s="114">
        <f t="shared" si="14"/>
        <v>2418661.34</v>
      </c>
      <c r="C17" s="102">
        <f t="shared" si="7"/>
        <v>483732.27</v>
      </c>
      <c r="D17" s="103">
        <f t="shared" si="8"/>
        <v>2902393.61</v>
      </c>
      <c r="E17" s="114">
        <f t="shared" si="9"/>
        <v>1448570.28</v>
      </c>
      <c r="F17" s="102">
        <f t="shared" si="10"/>
        <v>289714.06</v>
      </c>
      <c r="G17" s="103">
        <f t="shared" si="11"/>
        <v>1738284.34</v>
      </c>
      <c r="H17" s="109">
        <f>H18-SUM(H6:H16)</f>
        <v>3867231.62</v>
      </c>
      <c r="I17" s="102">
        <f t="shared" si="12"/>
        <v>773446.33</v>
      </c>
      <c r="J17" s="215">
        <v>20</v>
      </c>
      <c r="K17" s="103">
        <f t="shared" si="13"/>
        <v>4640677.95</v>
      </c>
      <c r="L17" s="103">
        <f>L16</f>
        <v>1039766259.95</v>
      </c>
      <c r="M17" s="103">
        <f t="shared" si="16"/>
        <v>982163717.5</v>
      </c>
      <c r="N17" s="114">
        <f>$I17*имущество!$F$3/имущество!$F$11</f>
        <v>257987.69</v>
      </c>
      <c r="O17" s="102">
        <f>$I17*имущество!$F$4/имущество!$F$11</f>
        <v>249849.9</v>
      </c>
      <c r="P17" s="102">
        <f>$I17*имущество!$F$5/имущество!$F$11</f>
        <v>241296.6</v>
      </c>
      <c r="Q17" s="102">
        <f>$I17*имущество!$F$6/имущество!$F$11</f>
        <v>2337.0100000000002</v>
      </c>
      <c r="R17" s="102">
        <f>$I17*имущество!$F$7/имущество!$F$11</f>
        <v>2337.0100000000002</v>
      </c>
      <c r="S17" s="102">
        <f>$I17*имущество!$F$8/имущество!$F$11</f>
        <v>2337.0100000000002</v>
      </c>
      <c r="T17" s="102">
        <f>$I17*имущество!$F$9/имущество!$F$11</f>
        <v>14180.43</v>
      </c>
      <c r="U17" s="103">
        <f t="shared" si="6"/>
        <v>3120.68</v>
      </c>
    </row>
    <row r="18" spans="1:21" s="117" customFormat="1" ht="18.75" thickBot="1" x14ac:dyDescent="0.3">
      <c r="A18" s="106">
        <v>2019</v>
      </c>
      <c r="B18" s="115">
        <f>SUM(B6:B17)</f>
        <v>29023936.079999998</v>
      </c>
      <c r="C18" s="104">
        <f t="shared" ref="C18:G18" si="17">SUM(C6:C17)</f>
        <v>5804787.2400000002</v>
      </c>
      <c r="D18" s="105">
        <f t="shared" si="17"/>
        <v>34828723.32</v>
      </c>
      <c r="E18" s="115">
        <f t="shared" si="17"/>
        <v>17382843.579999998</v>
      </c>
      <c r="F18" s="104">
        <f t="shared" si="17"/>
        <v>3476568.72</v>
      </c>
      <c r="G18" s="105">
        <f t="shared" si="17"/>
        <v>20859412.300000001</v>
      </c>
      <c r="H18" s="110">
        <f>Лист2!E16</f>
        <v>46406779.659999996</v>
      </c>
      <c r="I18" s="104">
        <f>SUM(I6:I17)</f>
        <v>9281355.9600000009</v>
      </c>
      <c r="J18" s="216">
        <v>20</v>
      </c>
      <c r="K18" s="105">
        <f>SUM(K6:K17)</f>
        <v>55688135.619999997</v>
      </c>
      <c r="L18" s="105">
        <f>L17</f>
        <v>1039766259.95</v>
      </c>
      <c r="M18" s="105">
        <f>L31</f>
        <v>982163717.5</v>
      </c>
      <c r="N18" s="115">
        <f>SUM(N6:N17)</f>
        <v>3095852.28</v>
      </c>
      <c r="O18" s="104">
        <f t="shared" ref="O18:U18" si="18">SUM(O6:O17)</f>
        <v>2998198.8</v>
      </c>
      <c r="P18" s="104">
        <f t="shared" si="18"/>
        <v>2895559.2</v>
      </c>
      <c r="Q18" s="104">
        <f t="shared" si="18"/>
        <v>28044.12</v>
      </c>
      <c r="R18" s="104">
        <f t="shared" si="18"/>
        <v>28044.12</v>
      </c>
      <c r="S18" s="104">
        <f t="shared" si="18"/>
        <v>28044.12</v>
      </c>
      <c r="T18" s="104">
        <f t="shared" si="18"/>
        <v>170165.16</v>
      </c>
      <c r="U18" s="105">
        <f t="shared" si="18"/>
        <v>37448.160000000003</v>
      </c>
    </row>
    <row r="19" spans="1:21" x14ac:dyDescent="0.25">
      <c r="A19" s="147">
        <v>43831</v>
      </c>
      <c r="B19" s="113">
        <f>B6</f>
        <v>2418661.34</v>
      </c>
      <c r="C19" s="96">
        <f>B19*J19/100</f>
        <v>483732.27</v>
      </c>
      <c r="D19" s="97">
        <f>C19+B19</f>
        <v>2902393.61</v>
      </c>
      <c r="E19" s="113">
        <f>H19-B19</f>
        <v>1625830.19</v>
      </c>
      <c r="F19" s="96">
        <f>E19*J19/100</f>
        <v>325166.03999999998</v>
      </c>
      <c r="G19" s="97">
        <f>F19+E19</f>
        <v>1950996.23</v>
      </c>
      <c r="H19" s="108">
        <f>H31/12</f>
        <v>4044491.53</v>
      </c>
      <c r="I19" s="96">
        <f>F19+C19</f>
        <v>808898.31</v>
      </c>
      <c r="J19" s="214">
        <v>20</v>
      </c>
      <c r="K19" s="97">
        <f>I19+H19</f>
        <v>4853389.84</v>
      </c>
      <c r="L19" s="97">
        <f>L18-SUM(K15:K17)</f>
        <v>1025844226.0599999</v>
      </c>
      <c r="M19" s="97"/>
      <c r="N19" s="113">
        <f>$I19*имущество!$F$3/имущество!$F$11</f>
        <v>269812.92</v>
      </c>
      <c r="O19" s="96">
        <f>$I19*имущество!$F$4/имущество!$F$11</f>
        <v>261302.11</v>
      </c>
      <c r="P19" s="96">
        <f>$I19*имущество!$F$5/имущество!$F$11</f>
        <v>252356.76</v>
      </c>
      <c r="Q19" s="96">
        <f>$I19*имущество!$F$6/имущество!$F$11</f>
        <v>2444.13</v>
      </c>
      <c r="R19" s="96">
        <f>$I19*имущество!$F$7/имущество!$F$11</f>
        <v>2444.13</v>
      </c>
      <c r="S19" s="96">
        <f>$I19*имущество!$F$8/имущество!$F$11</f>
        <v>2444.13</v>
      </c>
      <c r="T19" s="96">
        <f>$I19*имущество!$F$9/имущество!$F$11</f>
        <v>14830.41</v>
      </c>
      <c r="U19" s="97">
        <f t="shared" ref="U19:U30" si="19">I19-SUM(N19:T19)</f>
        <v>3263.72</v>
      </c>
    </row>
    <row r="20" spans="1:21" x14ac:dyDescent="0.25">
      <c r="A20" s="149">
        <v>43862</v>
      </c>
      <c r="B20" s="116">
        <f>B19</f>
        <v>2418661.34</v>
      </c>
      <c r="C20" s="95">
        <f t="shared" ref="C20:C30" si="20">B20*J20/100</f>
        <v>483732.27</v>
      </c>
      <c r="D20" s="98">
        <f t="shared" ref="D20:D30" si="21">C20+B20</f>
        <v>2902393.61</v>
      </c>
      <c r="E20" s="116">
        <f t="shared" ref="E20:E30" si="22">H20-B20</f>
        <v>1625830.19</v>
      </c>
      <c r="F20" s="95">
        <f t="shared" ref="F20:F30" si="23">E20*J20/100</f>
        <v>325166.03999999998</v>
      </c>
      <c r="G20" s="98">
        <f t="shared" ref="G20:G30" si="24">F20+E20</f>
        <v>1950996.23</v>
      </c>
      <c r="H20" s="111">
        <f>H19</f>
        <v>4044491.53</v>
      </c>
      <c r="I20" s="95">
        <f t="shared" ref="I20:I30" si="25">F20+C20</f>
        <v>808898.31</v>
      </c>
      <c r="J20" s="217">
        <v>20</v>
      </c>
      <c r="K20" s="98">
        <f t="shared" ref="K20:K30" si="26">I20+H20</f>
        <v>4853389.84</v>
      </c>
      <c r="L20" s="98">
        <f>L19</f>
        <v>1025844226.0599999</v>
      </c>
      <c r="M20" s="98"/>
      <c r="N20" s="116">
        <f>$I20*имущество!$F$3/имущество!$F$11</f>
        <v>269812.92</v>
      </c>
      <c r="O20" s="95">
        <f>$I20*имущество!$F$4/имущество!$F$11</f>
        <v>261302.11</v>
      </c>
      <c r="P20" s="95">
        <f>$I20*имущество!$F$5/имущество!$F$11</f>
        <v>252356.76</v>
      </c>
      <c r="Q20" s="95">
        <f>$I20*имущество!$F$6/имущество!$F$11</f>
        <v>2444.13</v>
      </c>
      <c r="R20" s="95">
        <f>$I20*имущество!$F$7/имущество!$F$11</f>
        <v>2444.13</v>
      </c>
      <c r="S20" s="95">
        <f>$I20*имущество!$F$8/имущество!$F$11</f>
        <v>2444.13</v>
      </c>
      <c r="T20" s="95">
        <f>$I20*имущество!$F$9/имущество!$F$11</f>
        <v>14830.41</v>
      </c>
      <c r="U20" s="98">
        <f t="shared" si="19"/>
        <v>3263.72</v>
      </c>
    </row>
    <row r="21" spans="1:21" x14ac:dyDescent="0.25">
      <c r="A21" s="149">
        <v>43891</v>
      </c>
      <c r="B21" s="116">
        <f t="shared" ref="B21:B30" si="27">B20</f>
        <v>2418661.34</v>
      </c>
      <c r="C21" s="95">
        <f t="shared" si="20"/>
        <v>483732.27</v>
      </c>
      <c r="D21" s="98">
        <f t="shared" si="21"/>
        <v>2902393.61</v>
      </c>
      <c r="E21" s="116">
        <f t="shared" si="22"/>
        <v>1625830.19</v>
      </c>
      <c r="F21" s="95">
        <f t="shared" si="23"/>
        <v>325166.03999999998</v>
      </c>
      <c r="G21" s="98">
        <f t="shared" si="24"/>
        <v>1950996.23</v>
      </c>
      <c r="H21" s="111">
        <f t="shared" ref="H21:H29" si="28">H20</f>
        <v>4044491.53</v>
      </c>
      <c r="I21" s="95">
        <f t="shared" si="25"/>
        <v>808898.31</v>
      </c>
      <c r="J21" s="217">
        <v>20</v>
      </c>
      <c r="K21" s="98">
        <f t="shared" si="26"/>
        <v>4853389.84</v>
      </c>
      <c r="L21" s="98">
        <f>L20</f>
        <v>1025844226.0599999</v>
      </c>
      <c r="M21" s="98"/>
      <c r="N21" s="116">
        <f>$I21*имущество!$F$3/имущество!$F$11</f>
        <v>269812.92</v>
      </c>
      <c r="O21" s="95">
        <f>$I21*имущество!$F$4/имущество!$F$11</f>
        <v>261302.11</v>
      </c>
      <c r="P21" s="95">
        <f>$I21*имущество!$F$5/имущество!$F$11</f>
        <v>252356.76</v>
      </c>
      <c r="Q21" s="95">
        <f>$I21*имущество!$F$6/имущество!$F$11</f>
        <v>2444.13</v>
      </c>
      <c r="R21" s="95">
        <f>$I21*имущество!$F$7/имущество!$F$11</f>
        <v>2444.13</v>
      </c>
      <c r="S21" s="95">
        <f>$I21*имущество!$F$8/имущество!$F$11</f>
        <v>2444.13</v>
      </c>
      <c r="T21" s="95">
        <f>$I21*имущество!$F$9/имущество!$F$11</f>
        <v>14830.41</v>
      </c>
      <c r="U21" s="98">
        <f t="shared" si="19"/>
        <v>3263.72</v>
      </c>
    </row>
    <row r="22" spans="1:21" x14ac:dyDescent="0.25">
      <c r="A22" s="149">
        <v>43922</v>
      </c>
      <c r="B22" s="116">
        <f t="shared" si="27"/>
        <v>2418661.34</v>
      </c>
      <c r="C22" s="95">
        <f t="shared" si="20"/>
        <v>483732.27</v>
      </c>
      <c r="D22" s="98">
        <f t="shared" si="21"/>
        <v>2902393.61</v>
      </c>
      <c r="E22" s="116">
        <f t="shared" si="22"/>
        <v>1625830.19</v>
      </c>
      <c r="F22" s="95">
        <f t="shared" si="23"/>
        <v>325166.03999999998</v>
      </c>
      <c r="G22" s="98">
        <f t="shared" si="24"/>
        <v>1950996.23</v>
      </c>
      <c r="H22" s="111">
        <f t="shared" si="28"/>
        <v>4044491.53</v>
      </c>
      <c r="I22" s="95">
        <f t="shared" si="25"/>
        <v>808898.31</v>
      </c>
      <c r="J22" s="217">
        <v>20</v>
      </c>
      <c r="K22" s="98">
        <f t="shared" si="26"/>
        <v>4853389.84</v>
      </c>
      <c r="L22" s="98">
        <f>L21-SUM(K19:K21)</f>
        <v>1011284056.54</v>
      </c>
      <c r="M22" s="98"/>
      <c r="N22" s="116">
        <f>$I22*имущество!$F$3/имущество!$F$11</f>
        <v>269812.92</v>
      </c>
      <c r="O22" s="95">
        <f>$I22*имущество!$F$4/имущество!$F$11</f>
        <v>261302.11</v>
      </c>
      <c r="P22" s="95">
        <f>$I22*имущество!$F$5/имущество!$F$11</f>
        <v>252356.76</v>
      </c>
      <c r="Q22" s="95">
        <f>$I22*имущество!$F$6/имущество!$F$11</f>
        <v>2444.13</v>
      </c>
      <c r="R22" s="95">
        <f>$I22*имущество!$F$7/имущество!$F$11</f>
        <v>2444.13</v>
      </c>
      <c r="S22" s="95">
        <f>$I22*имущество!$F$8/имущество!$F$11</f>
        <v>2444.13</v>
      </c>
      <c r="T22" s="95">
        <f>$I22*имущество!$F$9/имущество!$F$11</f>
        <v>14830.41</v>
      </c>
      <c r="U22" s="98">
        <f t="shared" si="19"/>
        <v>3263.72</v>
      </c>
    </row>
    <row r="23" spans="1:21" x14ac:dyDescent="0.25">
      <c r="A23" s="149">
        <v>43952</v>
      </c>
      <c r="B23" s="116">
        <f t="shared" si="27"/>
        <v>2418661.34</v>
      </c>
      <c r="C23" s="95">
        <f t="shared" si="20"/>
        <v>483732.27</v>
      </c>
      <c r="D23" s="98">
        <f t="shared" si="21"/>
        <v>2902393.61</v>
      </c>
      <c r="E23" s="116">
        <f t="shared" si="22"/>
        <v>1625830.19</v>
      </c>
      <c r="F23" s="95">
        <f t="shared" si="23"/>
        <v>325166.03999999998</v>
      </c>
      <c r="G23" s="98">
        <f t="shared" si="24"/>
        <v>1950996.23</v>
      </c>
      <c r="H23" s="111">
        <f t="shared" si="28"/>
        <v>4044491.53</v>
      </c>
      <c r="I23" s="95">
        <f t="shared" si="25"/>
        <v>808898.31</v>
      </c>
      <c r="J23" s="217">
        <v>20</v>
      </c>
      <c r="K23" s="98">
        <f t="shared" si="26"/>
        <v>4853389.84</v>
      </c>
      <c r="L23" s="98">
        <f>L22</f>
        <v>1011284056.54</v>
      </c>
      <c r="M23" s="98"/>
      <c r="N23" s="116">
        <f>$I23*имущество!$F$3/имущество!$F$11</f>
        <v>269812.92</v>
      </c>
      <c r="O23" s="95">
        <f>$I23*имущество!$F$4/имущество!$F$11</f>
        <v>261302.11</v>
      </c>
      <c r="P23" s="95">
        <f>$I23*имущество!$F$5/имущество!$F$11</f>
        <v>252356.76</v>
      </c>
      <c r="Q23" s="95">
        <f>$I23*имущество!$F$6/имущество!$F$11</f>
        <v>2444.13</v>
      </c>
      <c r="R23" s="95">
        <f>$I23*имущество!$F$7/имущество!$F$11</f>
        <v>2444.13</v>
      </c>
      <c r="S23" s="95">
        <f>$I23*имущество!$F$8/имущество!$F$11</f>
        <v>2444.13</v>
      </c>
      <c r="T23" s="95">
        <f>$I23*имущество!$F$9/имущество!$F$11</f>
        <v>14830.41</v>
      </c>
      <c r="U23" s="98">
        <f t="shared" si="19"/>
        <v>3263.72</v>
      </c>
    </row>
    <row r="24" spans="1:21" x14ac:dyDescent="0.25">
      <c r="A24" s="149">
        <v>43983</v>
      </c>
      <c r="B24" s="116">
        <f t="shared" si="27"/>
        <v>2418661.34</v>
      </c>
      <c r="C24" s="95">
        <f t="shared" si="20"/>
        <v>483732.27</v>
      </c>
      <c r="D24" s="98">
        <f t="shared" si="21"/>
        <v>2902393.61</v>
      </c>
      <c r="E24" s="116">
        <f t="shared" si="22"/>
        <v>1625830.19</v>
      </c>
      <c r="F24" s="95">
        <f t="shared" si="23"/>
        <v>325166.03999999998</v>
      </c>
      <c r="G24" s="98">
        <f t="shared" si="24"/>
        <v>1950996.23</v>
      </c>
      <c r="H24" s="111">
        <f t="shared" si="28"/>
        <v>4044491.53</v>
      </c>
      <c r="I24" s="95">
        <f t="shared" si="25"/>
        <v>808898.31</v>
      </c>
      <c r="J24" s="217">
        <v>20</v>
      </c>
      <c r="K24" s="98">
        <f t="shared" si="26"/>
        <v>4853389.84</v>
      </c>
      <c r="L24" s="98">
        <f>L23</f>
        <v>1011284056.54</v>
      </c>
      <c r="M24" s="98"/>
      <c r="N24" s="116">
        <f>$I24*имущество!$F$3/имущество!$F$11</f>
        <v>269812.92</v>
      </c>
      <c r="O24" s="95">
        <f>$I24*имущество!$F$4/имущество!$F$11</f>
        <v>261302.11</v>
      </c>
      <c r="P24" s="95">
        <f>$I24*имущество!$F$5/имущество!$F$11</f>
        <v>252356.76</v>
      </c>
      <c r="Q24" s="95">
        <f>$I24*имущество!$F$6/имущество!$F$11</f>
        <v>2444.13</v>
      </c>
      <c r="R24" s="95">
        <f>$I24*имущество!$F$7/имущество!$F$11</f>
        <v>2444.13</v>
      </c>
      <c r="S24" s="95">
        <f>$I24*имущество!$F$8/имущество!$F$11</f>
        <v>2444.13</v>
      </c>
      <c r="T24" s="95">
        <f>$I24*имущество!$F$9/имущество!$F$11</f>
        <v>14830.41</v>
      </c>
      <c r="U24" s="98">
        <f t="shared" si="19"/>
        <v>3263.72</v>
      </c>
    </row>
    <row r="25" spans="1:21" x14ac:dyDescent="0.25">
      <c r="A25" s="149">
        <v>44013</v>
      </c>
      <c r="B25" s="116">
        <f t="shared" si="27"/>
        <v>2418661.34</v>
      </c>
      <c r="C25" s="95">
        <f t="shared" si="20"/>
        <v>483732.27</v>
      </c>
      <c r="D25" s="98">
        <f t="shared" si="21"/>
        <v>2902393.61</v>
      </c>
      <c r="E25" s="116">
        <f t="shared" si="22"/>
        <v>1625830.19</v>
      </c>
      <c r="F25" s="95">
        <f t="shared" si="23"/>
        <v>325166.03999999998</v>
      </c>
      <c r="G25" s="98">
        <f t="shared" si="24"/>
        <v>1950996.23</v>
      </c>
      <c r="H25" s="111">
        <f t="shared" si="28"/>
        <v>4044491.53</v>
      </c>
      <c r="I25" s="95">
        <f t="shared" si="25"/>
        <v>808898.31</v>
      </c>
      <c r="J25" s="217">
        <v>20</v>
      </c>
      <c r="K25" s="98">
        <f t="shared" si="26"/>
        <v>4853389.84</v>
      </c>
      <c r="L25" s="98">
        <f>L24-SUM(K22:K24)</f>
        <v>996723887.01999998</v>
      </c>
      <c r="M25" s="98"/>
      <c r="N25" s="116">
        <f>$I25*имущество!$F$3/имущество!$F$11</f>
        <v>269812.92</v>
      </c>
      <c r="O25" s="95">
        <f>$I25*имущество!$F$4/имущество!$F$11</f>
        <v>261302.11</v>
      </c>
      <c r="P25" s="95">
        <f>$I25*имущество!$F$5/имущество!$F$11</f>
        <v>252356.76</v>
      </c>
      <c r="Q25" s="95">
        <f>$I25*имущество!$F$6/имущество!$F$11</f>
        <v>2444.13</v>
      </c>
      <c r="R25" s="95">
        <f>$I25*имущество!$F$7/имущество!$F$11</f>
        <v>2444.13</v>
      </c>
      <c r="S25" s="95">
        <f>$I25*имущество!$F$8/имущество!$F$11</f>
        <v>2444.13</v>
      </c>
      <c r="T25" s="95">
        <f>$I25*имущество!$F$9/имущество!$F$11</f>
        <v>14830.41</v>
      </c>
      <c r="U25" s="98">
        <f t="shared" si="19"/>
        <v>3263.72</v>
      </c>
    </row>
    <row r="26" spans="1:21" x14ac:dyDescent="0.25">
      <c r="A26" s="149">
        <v>44044</v>
      </c>
      <c r="B26" s="116">
        <f t="shared" si="27"/>
        <v>2418661.34</v>
      </c>
      <c r="C26" s="95">
        <f t="shared" si="20"/>
        <v>483732.27</v>
      </c>
      <c r="D26" s="98">
        <f t="shared" si="21"/>
        <v>2902393.61</v>
      </c>
      <c r="E26" s="116">
        <f t="shared" si="22"/>
        <v>1625830.19</v>
      </c>
      <c r="F26" s="95">
        <f t="shared" si="23"/>
        <v>325166.03999999998</v>
      </c>
      <c r="G26" s="98">
        <f t="shared" si="24"/>
        <v>1950996.23</v>
      </c>
      <c r="H26" s="111">
        <f t="shared" si="28"/>
        <v>4044491.53</v>
      </c>
      <c r="I26" s="95">
        <f t="shared" si="25"/>
        <v>808898.31</v>
      </c>
      <c r="J26" s="217">
        <v>20</v>
      </c>
      <c r="K26" s="98">
        <f t="shared" si="26"/>
        <v>4853389.84</v>
      </c>
      <c r="L26" s="98">
        <f>L25</f>
        <v>996723887.01999998</v>
      </c>
      <c r="M26" s="98"/>
      <c r="N26" s="116">
        <f>$I26*имущество!$F$3/имущество!$F$11</f>
        <v>269812.92</v>
      </c>
      <c r="O26" s="95">
        <f>$I26*имущество!$F$4/имущество!$F$11</f>
        <v>261302.11</v>
      </c>
      <c r="P26" s="95">
        <f>$I26*имущество!$F$5/имущество!$F$11</f>
        <v>252356.76</v>
      </c>
      <c r="Q26" s="95">
        <f>$I26*имущество!$F$6/имущество!$F$11</f>
        <v>2444.13</v>
      </c>
      <c r="R26" s="95">
        <f>$I26*имущество!$F$7/имущество!$F$11</f>
        <v>2444.13</v>
      </c>
      <c r="S26" s="95">
        <f>$I26*имущество!$F$8/имущество!$F$11</f>
        <v>2444.13</v>
      </c>
      <c r="T26" s="95">
        <f>$I26*имущество!$F$9/имущество!$F$11</f>
        <v>14830.41</v>
      </c>
      <c r="U26" s="98">
        <f t="shared" si="19"/>
        <v>3263.72</v>
      </c>
    </row>
    <row r="27" spans="1:21" x14ac:dyDescent="0.25">
      <c r="A27" s="149">
        <v>44075</v>
      </c>
      <c r="B27" s="116">
        <f t="shared" si="27"/>
        <v>2418661.34</v>
      </c>
      <c r="C27" s="95">
        <f t="shared" si="20"/>
        <v>483732.27</v>
      </c>
      <c r="D27" s="98">
        <f t="shared" si="21"/>
        <v>2902393.61</v>
      </c>
      <c r="E27" s="116">
        <f t="shared" si="22"/>
        <v>1625830.19</v>
      </c>
      <c r="F27" s="95">
        <f t="shared" si="23"/>
        <v>325166.03999999998</v>
      </c>
      <c r="G27" s="98">
        <f t="shared" si="24"/>
        <v>1950996.23</v>
      </c>
      <c r="H27" s="111">
        <f t="shared" si="28"/>
        <v>4044491.53</v>
      </c>
      <c r="I27" s="95">
        <f t="shared" si="25"/>
        <v>808898.31</v>
      </c>
      <c r="J27" s="217">
        <v>20</v>
      </c>
      <c r="K27" s="98">
        <f t="shared" si="26"/>
        <v>4853389.84</v>
      </c>
      <c r="L27" s="98">
        <f>L26</f>
        <v>996723887.01999998</v>
      </c>
      <c r="M27" s="98"/>
      <c r="N27" s="116">
        <f>$I27*имущество!$F$3/имущество!$F$11</f>
        <v>269812.92</v>
      </c>
      <c r="O27" s="95">
        <f>$I27*имущество!$F$4/имущество!$F$11</f>
        <v>261302.11</v>
      </c>
      <c r="P27" s="95">
        <f>$I27*имущество!$F$5/имущество!$F$11</f>
        <v>252356.76</v>
      </c>
      <c r="Q27" s="95">
        <f>$I27*имущество!$F$6/имущество!$F$11</f>
        <v>2444.13</v>
      </c>
      <c r="R27" s="95">
        <f>$I27*имущество!$F$7/имущество!$F$11</f>
        <v>2444.13</v>
      </c>
      <c r="S27" s="95">
        <f>$I27*имущество!$F$8/имущество!$F$11</f>
        <v>2444.13</v>
      </c>
      <c r="T27" s="95">
        <f>$I27*имущество!$F$9/имущество!$F$11</f>
        <v>14830.41</v>
      </c>
      <c r="U27" s="98">
        <f t="shared" si="19"/>
        <v>3263.72</v>
      </c>
    </row>
    <row r="28" spans="1:21" x14ac:dyDescent="0.25">
      <c r="A28" s="149">
        <v>44105</v>
      </c>
      <c r="B28" s="116">
        <f t="shared" si="27"/>
        <v>2418661.34</v>
      </c>
      <c r="C28" s="95">
        <f t="shared" si="20"/>
        <v>483732.27</v>
      </c>
      <c r="D28" s="98">
        <f t="shared" si="21"/>
        <v>2902393.61</v>
      </c>
      <c r="E28" s="116">
        <f t="shared" si="22"/>
        <v>1625830.19</v>
      </c>
      <c r="F28" s="95">
        <f t="shared" si="23"/>
        <v>325166.03999999998</v>
      </c>
      <c r="G28" s="98">
        <f t="shared" si="24"/>
        <v>1950996.23</v>
      </c>
      <c r="H28" s="111">
        <f t="shared" si="28"/>
        <v>4044491.53</v>
      </c>
      <c r="I28" s="95">
        <f t="shared" si="25"/>
        <v>808898.31</v>
      </c>
      <c r="J28" s="217">
        <v>20</v>
      </c>
      <c r="K28" s="98">
        <f t="shared" si="26"/>
        <v>4853389.84</v>
      </c>
      <c r="L28" s="98">
        <f>L27-SUM(K25:K27)</f>
        <v>982163717.5</v>
      </c>
      <c r="M28" s="98"/>
      <c r="N28" s="116">
        <f>$I28*имущество!$F$3/имущество!$F$11</f>
        <v>269812.92</v>
      </c>
      <c r="O28" s="95">
        <f>$I28*имущество!$F$4/имущество!$F$11</f>
        <v>261302.11</v>
      </c>
      <c r="P28" s="95">
        <f>$I28*имущество!$F$5/имущество!$F$11</f>
        <v>252356.76</v>
      </c>
      <c r="Q28" s="95">
        <f>$I28*имущество!$F$6/имущество!$F$11</f>
        <v>2444.13</v>
      </c>
      <c r="R28" s="95">
        <f>$I28*имущество!$F$7/имущество!$F$11</f>
        <v>2444.13</v>
      </c>
      <c r="S28" s="95">
        <f>$I28*имущество!$F$8/имущество!$F$11</f>
        <v>2444.13</v>
      </c>
      <c r="T28" s="95">
        <f>$I28*имущество!$F$9/имущество!$F$11</f>
        <v>14830.41</v>
      </c>
      <c r="U28" s="98">
        <f t="shared" si="19"/>
        <v>3263.72</v>
      </c>
    </row>
    <row r="29" spans="1:21" x14ac:dyDescent="0.25">
      <c r="A29" s="149">
        <v>44136</v>
      </c>
      <c r="B29" s="116">
        <f t="shared" si="27"/>
        <v>2418661.34</v>
      </c>
      <c r="C29" s="95">
        <f t="shared" si="20"/>
        <v>483732.27</v>
      </c>
      <c r="D29" s="98">
        <f t="shared" si="21"/>
        <v>2902393.61</v>
      </c>
      <c r="E29" s="116">
        <f t="shared" si="22"/>
        <v>1625830.19</v>
      </c>
      <c r="F29" s="95">
        <f t="shared" si="23"/>
        <v>325166.03999999998</v>
      </c>
      <c r="G29" s="98">
        <f t="shared" si="24"/>
        <v>1950996.23</v>
      </c>
      <c r="H29" s="111">
        <f t="shared" si="28"/>
        <v>4044491.53</v>
      </c>
      <c r="I29" s="95">
        <f t="shared" si="25"/>
        <v>808898.31</v>
      </c>
      <c r="J29" s="217">
        <v>20</v>
      </c>
      <c r="K29" s="98">
        <f t="shared" si="26"/>
        <v>4853389.84</v>
      </c>
      <c r="L29" s="98">
        <f>L28</f>
        <v>982163717.5</v>
      </c>
      <c r="M29" s="98"/>
      <c r="N29" s="116">
        <f>$I29*имущество!$F$3/имущество!$F$11</f>
        <v>269812.92</v>
      </c>
      <c r="O29" s="95">
        <f>$I29*имущество!$F$4/имущество!$F$11</f>
        <v>261302.11</v>
      </c>
      <c r="P29" s="95">
        <f>$I29*имущество!$F$5/имущество!$F$11</f>
        <v>252356.76</v>
      </c>
      <c r="Q29" s="95">
        <f>$I29*имущество!$F$6/имущество!$F$11</f>
        <v>2444.13</v>
      </c>
      <c r="R29" s="95">
        <f>$I29*имущество!$F$7/имущество!$F$11</f>
        <v>2444.13</v>
      </c>
      <c r="S29" s="95">
        <f>$I29*имущество!$F$8/имущество!$F$11</f>
        <v>2444.13</v>
      </c>
      <c r="T29" s="95">
        <f>$I29*имущество!$F$9/имущество!$F$11</f>
        <v>14830.41</v>
      </c>
      <c r="U29" s="98">
        <f t="shared" si="19"/>
        <v>3263.72</v>
      </c>
    </row>
    <row r="30" spans="1:21" ht="18.75" thickBot="1" x14ac:dyDescent="0.3">
      <c r="A30" s="148">
        <v>44166</v>
      </c>
      <c r="B30" s="114">
        <f t="shared" si="27"/>
        <v>2418661.34</v>
      </c>
      <c r="C30" s="102">
        <f t="shared" si="20"/>
        <v>483732.27</v>
      </c>
      <c r="D30" s="103">
        <f t="shared" si="21"/>
        <v>2902393.61</v>
      </c>
      <c r="E30" s="114">
        <f t="shared" si="22"/>
        <v>1625830.14</v>
      </c>
      <c r="F30" s="102">
        <f t="shared" si="23"/>
        <v>325166.03000000003</v>
      </c>
      <c r="G30" s="103">
        <f t="shared" si="24"/>
        <v>1950996.17</v>
      </c>
      <c r="H30" s="109">
        <f>H31-SUM(H19:H29)</f>
        <v>4044491.48</v>
      </c>
      <c r="I30" s="102">
        <f t="shared" si="25"/>
        <v>808898.3</v>
      </c>
      <c r="J30" s="215">
        <v>20</v>
      </c>
      <c r="K30" s="103">
        <f t="shared" si="26"/>
        <v>4853389.78</v>
      </c>
      <c r="L30" s="103">
        <f>L29</f>
        <v>982163717.5</v>
      </c>
      <c r="M30" s="103"/>
      <c r="N30" s="114">
        <f>$I30*имущество!$F$3/имущество!$F$11</f>
        <v>269812.90999999997</v>
      </c>
      <c r="O30" s="102">
        <f>$I30*имущество!$F$4/имущество!$F$11</f>
        <v>261302.11</v>
      </c>
      <c r="P30" s="102">
        <f>$I30*имущество!$F$5/имущество!$F$11</f>
        <v>252356.76</v>
      </c>
      <c r="Q30" s="102">
        <f>$I30*имущество!$F$6/имущество!$F$11</f>
        <v>2444.13</v>
      </c>
      <c r="R30" s="102">
        <f>$I30*имущество!$F$7/имущество!$F$11</f>
        <v>2444.13</v>
      </c>
      <c r="S30" s="102">
        <f>$I30*имущество!$F$8/имущество!$F$11</f>
        <v>2444.13</v>
      </c>
      <c r="T30" s="102">
        <f>$I30*имущество!$F$9/имущество!$F$11</f>
        <v>14830.41</v>
      </c>
      <c r="U30" s="103">
        <f t="shared" si="19"/>
        <v>3263.72</v>
      </c>
    </row>
    <row r="31" spans="1:21" s="117" customFormat="1" ht="18.75" thickBot="1" x14ac:dyDescent="0.3">
      <c r="A31" s="106">
        <v>2020</v>
      </c>
      <c r="B31" s="115">
        <f>SUM(B19:B30)</f>
        <v>29023936.079999998</v>
      </c>
      <c r="C31" s="104">
        <f t="shared" ref="C31" si="29">SUM(C19:C30)</f>
        <v>5804787.2400000002</v>
      </c>
      <c r="D31" s="105">
        <f t="shared" ref="D31" si="30">SUM(D19:D30)</f>
        <v>34828723.32</v>
      </c>
      <c r="E31" s="115">
        <f t="shared" ref="E31" si="31">SUM(E19:E30)</f>
        <v>19509962.23</v>
      </c>
      <c r="F31" s="104">
        <f t="shared" ref="F31" si="32">SUM(F19:F30)</f>
        <v>3901992.47</v>
      </c>
      <c r="G31" s="105">
        <f t="shared" ref="G31" si="33">SUM(G19:G30)</f>
        <v>23411954.699999999</v>
      </c>
      <c r="H31" s="110">
        <f>Лист2!E17</f>
        <v>48533898.310000002</v>
      </c>
      <c r="I31" s="104">
        <f t="shared" ref="I31" si="34">SUM(I19:I30)</f>
        <v>9706779.7100000009</v>
      </c>
      <c r="J31" s="216">
        <v>20</v>
      </c>
      <c r="K31" s="105">
        <f t="shared" ref="K31" si="35">SUM(K19:K30)</f>
        <v>58240678.020000003</v>
      </c>
      <c r="L31" s="105">
        <f>L30</f>
        <v>982163717.5</v>
      </c>
      <c r="M31" s="105">
        <f>L44</f>
        <v>921962870.08000004</v>
      </c>
      <c r="N31" s="115">
        <f>SUM(N19:N30)</f>
        <v>3237755.03</v>
      </c>
      <c r="O31" s="104">
        <f t="shared" ref="O31:U31" si="36">SUM(O19:O30)</f>
        <v>3135625.32</v>
      </c>
      <c r="P31" s="104">
        <f t="shared" si="36"/>
        <v>3028281.12</v>
      </c>
      <c r="Q31" s="104">
        <f t="shared" si="36"/>
        <v>29329.56</v>
      </c>
      <c r="R31" s="104">
        <f t="shared" si="36"/>
        <v>29329.56</v>
      </c>
      <c r="S31" s="104">
        <f t="shared" si="36"/>
        <v>29329.56</v>
      </c>
      <c r="T31" s="104">
        <f t="shared" si="36"/>
        <v>177964.92</v>
      </c>
      <c r="U31" s="105">
        <f t="shared" si="36"/>
        <v>39164.639999999999</v>
      </c>
    </row>
    <row r="32" spans="1:21" x14ac:dyDescent="0.25">
      <c r="A32" s="147">
        <v>44197</v>
      </c>
      <c r="B32" s="113">
        <f t="shared" ref="B32" si="37">B19</f>
        <v>2418661.34</v>
      </c>
      <c r="C32" s="96">
        <f t="shared" ref="C32:C43" si="38">B32*J32/100</f>
        <v>483732.27</v>
      </c>
      <c r="D32" s="97">
        <f t="shared" ref="D32:D43" si="39">C32+B32</f>
        <v>2902393.61</v>
      </c>
      <c r="E32" s="113">
        <f>H32-B32</f>
        <v>1807327.36</v>
      </c>
      <c r="F32" s="96">
        <f>E32*J32/100</f>
        <v>361465.47</v>
      </c>
      <c r="G32" s="97">
        <f>F32+E32</f>
        <v>2168792.83</v>
      </c>
      <c r="H32" s="108">
        <f>H44/12</f>
        <v>4225988.7</v>
      </c>
      <c r="I32" s="96">
        <f>F32+C32</f>
        <v>845197.74</v>
      </c>
      <c r="J32" s="214">
        <v>20</v>
      </c>
      <c r="K32" s="97">
        <f>I32+H32</f>
        <v>5071186.4400000004</v>
      </c>
      <c r="L32" s="97">
        <f>L31-SUM(K28:K30)</f>
        <v>967603548.03999996</v>
      </c>
      <c r="M32" s="97"/>
      <c r="N32" s="113">
        <f>$I32*имущество!$F$3/имущество!$F$11</f>
        <v>281920.81</v>
      </c>
      <c r="O32" s="96">
        <f>$I32*имущество!$F$4/имущество!$F$11</f>
        <v>273028.08</v>
      </c>
      <c r="P32" s="96">
        <f>$I32*имущество!$F$5/имущество!$F$11</f>
        <v>263681.3</v>
      </c>
      <c r="Q32" s="96">
        <f>$I32*имущество!$F$6/имущество!$F$11</f>
        <v>2553.81</v>
      </c>
      <c r="R32" s="96">
        <f>$I32*имущество!$F$7/имущество!$F$11</f>
        <v>2553.81</v>
      </c>
      <c r="S32" s="96">
        <f>$I32*имущество!$F$8/имущество!$F$11</f>
        <v>2553.81</v>
      </c>
      <c r="T32" s="96">
        <f>$I32*имущество!$F$9/имущество!$F$11</f>
        <v>15495.93</v>
      </c>
      <c r="U32" s="97">
        <f t="shared" ref="U32:U43" si="40">I32-SUM(N32:T32)</f>
        <v>3410.19</v>
      </c>
    </row>
    <row r="33" spans="1:21" x14ac:dyDescent="0.25">
      <c r="A33" s="149">
        <v>44228</v>
      </c>
      <c r="B33" s="116">
        <f t="shared" ref="B33:B43" si="41">B32</f>
        <v>2418661.34</v>
      </c>
      <c r="C33" s="95">
        <f t="shared" si="38"/>
        <v>483732.27</v>
      </c>
      <c r="D33" s="98">
        <f t="shared" si="39"/>
        <v>2902393.61</v>
      </c>
      <c r="E33" s="116">
        <f t="shared" ref="E33:E43" si="42">H33-B33</f>
        <v>1807327.36</v>
      </c>
      <c r="F33" s="95">
        <f t="shared" ref="F33:F43" si="43">E33*J33/100</f>
        <v>361465.47</v>
      </c>
      <c r="G33" s="98">
        <f t="shared" ref="G33:G43" si="44">F33+E33</f>
        <v>2168792.83</v>
      </c>
      <c r="H33" s="111">
        <f>H32</f>
        <v>4225988.7</v>
      </c>
      <c r="I33" s="95">
        <f t="shared" ref="I33:I43" si="45">F33+C33</f>
        <v>845197.74</v>
      </c>
      <c r="J33" s="217">
        <v>20</v>
      </c>
      <c r="K33" s="98">
        <f t="shared" ref="K33:K43" si="46">I33+H33</f>
        <v>5071186.4400000004</v>
      </c>
      <c r="L33" s="98">
        <f>L32</f>
        <v>967603548.03999996</v>
      </c>
      <c r="M33" s="98"/>
      <c r="N33" s="116">
        <f>$I33*имущество!$F$3/имущество!$F$11</f>
        <v>281920.81</v>
      </c>
      <c r="O33" s="95">
        <f>$I33*имущество!$F$4/имущество!$F$11</f>
        <v>273028.08</v>
      </c>
      <c r="P33" s="95">
        <f>$I33*имущество!$F$5/имущество!$F$11</f>
        <v>263681.3</v>
      </c>
      <c r="Q33" s="95">
        <f>$I33*имущество!$F$6/имущество!$F$11</f>
        <v>2553.81</v>
      </c>
      <c r="R33" s="95">
        <f>$I33*имущество!$F$7/имущество!$F$11</f>
        <v>2553.81</v>
      </c>
      <c r="S33" s="95">
        <f>$I33*имущество!$F$8/имущество!$F$11</f>
        <v>2553.81</v>
      </c>
      <c r="T33" s="95">
        <f>$I33*имущество!$F$9/имущество!$F$11</f>
        <v>15495.93</v>
      </c>
      <c r="U33" s="98">
        <f t="shared" si="40"/>
        <v>3410.19</v>
      </c>
    </row>
    <row r="34" spans="1:21" x14ac:dyDescent="0.25">
      <c r="A34" s="149">
        <v>44256</v>
      </c>
      <c r="B34" s="116">
        <f t="shared" si="41"/>
        <v>2418661.34</v>
      </c>
      <c r="C34" s="95">
        <f t="shared" si="38"/>
        <v>483732.27</v>
      </c>
      <c r="D34" s="98">
        <f t="shared" si="39"/>
        <v>2902393.61</v>
      </c>
      <c r="E34" s="116">
        <f t="shared" si="42"/>
        <v>1807327.36</v>
      </c>
      <c r="F34" s="95">
        <f t="shared" si="43"/>
        <v>361465.47</v>
      </c>
      <c r="G34" s="98">
        <f t="shared" si="44"/>
        <v>2168792.83</v>
      </c>
      <c r="H34" s="111">
        <f t="shared" ref="H34:H42" si="47">H33</f>
        <v>4225988.7</v>
      </c>
      <c r="I34" s="95">
        <f t="shared" si="45"/>
        <v>845197.74</v>
      </c>
      <c r="J34" s="217">
        <v>20</v>
      </c>
      <c r="K34" s="98">
        <f t="shared" si="46"/>
        <v>5071186.4400000004</v>
      </c>
      <c r="L34" s="98">
        <f>L33</f>
        <v>967603548.03999996</v>
      </c>
      <c r="M34" s="98"/>
      <c r="N34" s="116">
        <f>$I34*имущество!$F$3/имущество!$F$11</f>
        <v>281920.81</v>
      </c>
      <c r="O34" s="95">
        <f>$I34*имущество!$F$4/имущество!$F$11</f>
        <v>273028.08</v>
      </c>
      <c r="P34" s="95">
        <f>$I34*имущество!$F$5/имущество!$F$11</f>
        <v>263681.3</v>
      </c>
      <c r="Q34" s="95">
        <f>$I34*имущество!$F$6/имущество!$F$11</f>
        <v>2553.81</v>
      </c>
      <c r="R34" s="95">
        <f>$I34*имущество!$F$7/имущество!$F$11</f>
        <v>2553.81</v>
      </c>
      <c r="S34" s="95">
        <f>$I34*имущество!$F$8/имущество!$F$11</f>
        <v>2553.81</v>
      </c>
      <c r="T34" s="95">
        <f>$I34*имущество!$F$9/имущество!$F$11</f>
        <v>15495.93</v>
      </c>
      <c r="U34" s="98">
        <f t="shared" si="40"/>
        <v>3410.19</v>
      </c>
    </row>
    <row r="35" spans="1:21" x14ac:dyDescent="0.25">
      <c r="A35" s="149">
        <v>44287</v>
      </c>
      <c r="B35" s="116">
        <f t="shared" si="41"/>
        <v>2418661.34</v>
      </c>
      <c r="C35" s="95">
        <f t="shared" si="38"/>
        <v>483732.27</v>
      </c>
      <c r="D35" s="98">
        <f t="shared" si="39"/>
        <v>2902393.61</v>
      </c>
      <c r="E35" s="116">
        <f t="shared" si="42"/>
        <v>1807327.36</v>
      </c>
      <c r="F35" s="95">
        <f t="shared" si="43"/>
        <v>361465.47</v>
      </c>
      <c r="G35" s="98">
        <f t="shared" si="44"/>
        <v>2168792.83</v>
      </c>
      <c r="H35" s="111">
        <f t="shared" si="47"/>
        <v>4225988.7</v>
      </c>
      <c r="I35" s="95">
        <f t="shared" si="45"/>
        <v>845197.74</v>
      </c>
      <c r="J35" s="217">
        <v>20</v>
      </c>
      <c r="K35" s="98">
        <f t="shared" si="46"/>
        <v>5071186.4400000004</v>
      </c>
      <c r="L35" s="98">
        <f>L34-SUM(K32:K34)</f>
        <v>952389988.72000003</v>
      </c>
      <c r="M35" s="98"/>
      <c r="N35" s="116">
        <f>$I35*имущество!$F$3/имущество!$F$11</f>
        <v>281920.81</v>
      </c>
      <c r="O35" s="95">
        <f>$I35*имущество!$F$4/имущество!$F$11</f>
        <v>273028.08</v>
      </c>
      <c r="P35" s="95">
        <f>$I35*имущество!$F$5/имущество!$F$11</f>
        <v>263681.3</v>
      </c>
      <c r="Q35" s="95">
        <f>$I35*имущество!$F$6/имущество!$F$11</f>
        <v>2553.81</v>
      </c>
      <c r="R35" s="95">
        <f>$I35*имущество!$F$7/имущество!$F$11</f>
        <v>2553.81</v>
      </c>
      <c r="S35" s="95">
        <f>$I35*имущество!$F$8/имущество!$F$11</f>
        <v>2553.81</v>
      </c>
      <c r="T35" s="95">
        <f>$I35*имущество!$F$9/имущество!$F$11</f>
        <v>15495.93</v>
      </c>
      <c r="U35" s="98">
        <f t="shared" si="40"/>
        <v>3410.19</v>
      </c>
    </row>
    <row r="36" spans="1:21" x14ac:dyDescent="0.25">
      <c r="A36" s="149">
        <v>44317</v>
      </c>
      <c r="B36" s="116">
        <f t="shared" si="41"/>
        <v>2418661.34</v>
      </c>
      <c r="C36" s="95">
        <f t="shared" si="38"/>
        <v>483732.27</v>
      </c>
      <c r="D36" s="98">
        <f t="shared" si="39"/>
        <v>2902393.61</v>
      </c>
      <c r="E36" s="116">
        <f t="shared" si="42"/>
        <v>1807327.36</v>
      </c>
      <c r="F36" s="95">
        <f t="shared" si="43"/>
        <v>361465.47</v>
      </c>
      <c r="G36" s="98">
        <f t="shared" si="44"/>
        <v>2168792.83</v>
      </c>
      <c r="H36" s="111">
        <f t="shared" si="47"/>
        <v>4225988.7</v>
      </c>
      <c r="I36" s="95">
        <f t="shared" si="45"/>
        <v>845197.74</v>
      </c>
      <c r="J36" s="217">
        <v>20</v>
      </c>
      <c r="K36" s="98">
        <f t="shared" si="46"/>
        <v>5071186.4400000004</v>
      </c>
      <c r="L36" s="98">
        <f>L35</f>
        <v>952389988.72000003</v>
      </c>
      <c r="M36" s="98"/>
      <c r="N36" s="116">
        <f>$I36*имущество!$F$3/имущество!$F$11</f>
        <v>281920.81</v>
      </c>
      <c r="O36" s="95">
        <f>$I36*имущество!$F$4/имущество!$F$11</f>
        <v>273028.08</v>
      </c>
      <c r="P36" s="95">
        <f>$I36*имущество!$F$5/имущество!$F$11</f>
        <v>263681.3</v>
      </c>
      <c r="Q36" s="95">
        <f>$I36*имущество!$F$6/имущество!$F$11</f>
        <v>2553.81</v>
      </c>
      <c r="R36" s="95">
        <f>$I36*имущество!$F$7/имущество!$F$11</f>
        <v>2553.81</v>
      </c>
      <c r="S36" s="95">
        <f>$I36*имущество!$F$8/имущество!$F$11</f>
        <v>2553.81</v>
      </c>
      <c r="T36" s="95">
        <f>$I36*имущество!$F$9/имущество!$F$11</f>
        <v>15495.93</v>
      </c>
      <c r="U36" s="98">
        <f t="shared" si="40"/>
        <v>3410.19</v>
      </c>
    </row>
    <row r="37" spans="1:21" x14ac:dyDescent="0.25">
      <c r="A37" s="149">
        <v>44348</v>
      </c>
      <c r="B37" s="116">
        <f t="shared" si="41"/>
        <v>2418661.34</v>
      </c>
      <c r="C37" s="95">
        <f t="shared" si="38"/>
        <v>483732.27</v>
      </c>
      <c r="D37" s="98">
        <f t="shared" si="39"/>
        <v>2902393.61</v>
      </c>
      <c r="E37" s="116">
        <f t="shared" si="42"/>
        <v>1807327.36</v>
      </c>
      <c r="F37" s="95">
        <f t="shared" si="43"/>
        <v>361465.47</v>
      </c>
      <c r="G37" s="98">
        <f t="shared" si="44"/>
        <v>2168792.83</v>
      </c>
      <c r="H37" s="111">
        <f t="shared" si="47"/>
        <v>4225988.7</v>
      </c>
      <c r="I37" s="95">
        <f t="shared" si="45"/>
        <v>845197.74</v>
      </c>
      <c r="J37" s="217">
        <v>20</v>
      </c>
      <c r="K37" s="98">
        <f t="shared" si="46"/>
        <v>5071186.4400000004</v>
      </c>
      <c r="L37" s="98">
        <f>L36</f>
        <v>952389988.72000003</v>
      </c>
      <c r="M37" s="98"/>
      <c r="N37" s="116">
        <f>$I37*имущество!$F$3/имущество!$F$11</f>
        <v>281920.81</v>
      </c>
      <c r="O37" s="95">
        <f>$I37*имущество!$F$4/имущество!$F$11</f>
        <v>273028.08</v>
      </c>
      <c r="P37" s="95">
        <f>$I37*имущество!$F$5/имущество!$F$11</f>
        <v>263681.3</v>
      </c>
      <c r="Q37" s="95">
        <f>$I37*имущество!$F$6/имущество!$F$11</f>
        <v>2553.81</v>
      </c>
      <c r="R37" s="95">
        <f>$I37*имущество!$F$7/имущество!$F$11</f>
        <v>2553.81</v>
      </c>
      <c r="S37" s="95">
        <f>$I37*имущество!$F$8/имущество!$F$11</f>
        <v>2553.81</v>
      </c>
      <c r="T37" s="95">
        <f>$I37*имущество!$F$9/имущество!$F$11</f>
        <v>15495.93</v>
      </c>
      <c r="U37" s="98">
        <f t="shared" si="40"/>
        <v>3410.19</v>
      </c>
    </row>
    <row r="38" spans="1:21" x14ac:dyDescent="0.25">
      <c r="A38" s="149">
        <v>44378</v>
      </c>
      <c r="B38" s="116">
        <f t="shared" si="41"/>
        <v>2418661.34</v>
      </c>
      <c r="C38" s="95">
        <f t="shared" si="38"/>
        <v>483732.27</v>
      </c>
      <c r="D38" s="98">
        <f t="shared" si="39"/>
        <v>2902393.61</v>
      </c>
      <c r="E38" s="116">
        <f t="shared" si="42"/>
        <v>1807327.36</v>
      </c>
      <c r="F38" s="95">
        <f t="shared" si="43"/>
        <v>361465.47</v>
      </c>
      <c r="G38" s="98">
        <f t="shared" si="44"/>
        <v>2168792.83</v>
      </c>
      <c r="H38" s="111">
        <f t="shared" si="47"/>
        <v>4225988.7</v>
      </c>
      <c r="I38" s="95">
        <f t="shared" si="45"/>
        <v>845197.74</v>
      </c>
      <c r="J38" s="217">
        <v>20</v>
      </c>
      <c r="K38" s="98">
        <f t="shared" si="46"/>
        <v>5071186.4400000004</v>
      </c>
      <c r="L38" s="98">
        <f>L37-SUM(K35:K37)</f>
        <v>937176429.39999998</v>
      </c>
      <c r="M38" s="98"/>
      <c r="N38" s="116">
        <f>$I38*имущество!$F$3/имущество!$F$11</f>
        <v>281920.81</v>
      </c>
      <c r="O38" s="95">
        <f>$I38*имущество!$F$4/имущество!$F$11</f>
        <v>273028.08</v>
      </c>
      <c r="P38" s="95">
        <f>$I38*имущество!$F$5/имущество!$F$11</f>
        <v>263681.3</v>
      </c>
      <c r="Q38" s="95">
        <f>$I38*имущество!$F$6/имущество!$F$11</f>
        <v>2553.81</v>
      </c>
      <c r="R38" s="95">
        <f>$I38*имущество!$F$7/имущество!$F$11</f>
        <v>2553.81</v>
      </c>
      <c r="S38" s="95">
        <f>$I38*имущество!$F$8/имущество!$F$11</f>
        <v>2553.81</v>
      </c>
      <c r="T38" s="95">
        <f>$I38*имущество!$F$9/имущество!$F$11</f>
        <v>15495.93</v>
      </c>
      <c r="U38" s="98">
        <f t="shared" si="40"/>
        <v>3410.19</v>
      </c>
    </row>
    <row r="39" spans="1:21" x14ac:dyDescent="0.25">
      <c r="A39" s="149">
        <v>44409</v>
      </c>
      <c r="B39" s="116">
        <f t="shared" si="41"/>
        <v>2418661.34</v>
      </c>
      <c r="C39" s="95">
        <f t="shared" si="38"/>
        <v>483732.27</v>
      </c>
      <c r="D39" s="98">
        <f t="shared" si="39"/>
        <v>2902393.61</v>
      </c>
      <c r="E39" s="116">
        <f t="shared" si="42"/>
        <v>1807327.36</v>
      </c>
      <c r="F39" s="95">
        <f t="shared" si="43"/>
        <v>361465.47</v>
      </c>
      <c r="G39" s="98">
        <f t="shared" si="44"/>
        <v>2168792.83</v>
      </c>
      <c r="H39" s="111">
        <f t="shared" si="47"/>
        <v>4225988.7</v>
      </c>
      <c r="I39" s="95">
        <f t="shared" si="45"/>
        <v>845197.74</v>
      </c>
      <c r="J39" s="217">
        <v>20</v>
      </c>
      <c r="K39" s="98">
        <f t="shared" si="46"/>
        <v>5071186.4400000004</v>
      </c>
      <c r="L39" s="98">
        <f>L38</f>
        <v>937176429.39999998</v>
      </c>
      <c r="M39" s="98"/>
      <c r="N39" s="116">
        <f>$I39*имущество!$F$3/имущество!$F$11</f>
        <v>281920.81</v>
      </c>
      <c r="O39" s="95">
        <f>$I39*имущество!$F$4/имущество!$F$11</f>
        <v>273028.08</v>
      </c>
      <c r="P39" s="95">
        <f>$I39*имущество!$F$5/имущество!$F$11</f>
        <v>263681.3</v>
      </c>
      <c r="Q39" s="95">
        <f>$I39*имущество!$F$6/имущество!$F$11</f>
        <v>2553.81</v>
      </c>
      <c r="R39" s="95">
        <f>$I39*имущество!$F$7/имущество!$F$11</f>
        <v>2553.81</v>
      </c>
      <c r="S39" s="95">
        <f>$I39*имущество!$F$8/имущество!$F$11</f>
        <v>2553.81</v>
      </c>
      <c r="T39" s="95">
        <f>$I39*имущество!$F$9/имущество!$F$11</f>
        <v>15495.93</v>
      </c>
      <c r="U39" s="98">
        <f t="shared" si="40"/>
        <v>3410.19</v>
      </c>
    </row>
    <row r="40" spans="1:21" x14ac:dyDescent="0.25">
      <c r="A40" s="149">
        <v>44440</v>
      </c>
      <c r="B40" s="116">
        <f t="shared" si="41"/>
        <v>2418661.34</v>
      </c>
      <c r="C40" s="95">
        <f t="shared" si="38"/>
        <v>483732.27</v>
      </c>
      <c r="D40" s="98">
        <f t="shared" si="39"/>
        <v>2902393.61</v>
      </c>
      <c r="E40" s="116">
        <f t="shared" si="42"/>
        <v>1807327.36</v>
      </c>
      <c r="F40" s="95">
        <f t="shared" si="43"/>
        <v>361465.47</v>
      </c>
      <c r="G40" s="98">
        <f t="shared" si="44"/>
        <v>2168792.83</v>
      </c>
      <c r="H40" s="111">
        <f t="shared" si="47"/>
        <v>4225988.7</v>
      </c>
      <c r="I40" s="95">
        <f t="shared" si="45"/>
        <v>845197.74</v>
      </c>
      <c r="J40" s="217">
        <v>20</v>
      </c>
      <c r="K40" s="98">
        <f t="shared" si="46"/>
        <v>5071186.4400000004</v>
      </c>
      <c r="L40" s="98">
        <f>L39</f>
        <v>937176429.39999998</v>
      </c>
      <c r="M40" s="98"/>
      <c r="N40" s="116">
        <f>$I40*имущество!$F$3/имущество!$F$11</f>
        <v>281920.81</v>
      </c>
      <c r="O40" s="95">
        <f>$I40*имущество!$F$4/имущество!$F$11</f>
        <v>273028.08</v>
      </c>
      <c r="P40" s="95">
        <f>$I40*имущество!$F$5/имущество!$F$11</f>
        <v>263681.3</v>
      </c>
      <c r="Q40" s="95">
        <f>$I40*имущество!$F$6/имущество!$F$11</f>
        <v>2553.81</v>
      </c>
      <c r="R40" s="95">
        <f>$I40*имущество!$F$7/имущество!$F$11</f>
        <v>2553.81</v>
      </c>
      <c r="S40" s="95">
        <f>$I40*имущество!$F$8/имущество!$F$11</f>
        <v>2553.81</v>
      </c>
      <c r="T40" s="95">
        <f>$I40*имущество!$F$9/имущество!$F$11</f>
        <v>15495.93</v>
      </c>
      <c r="U40" s="98">
        <f t="shared" si="40"/>
        <v>3410.19</v>
      </c>
    </row>
    <row r="41" spans="1:21" x14ac:dyDescent="0.25">
      <c r="A41" s="149">
        <v>44470</v>
      </c>
      <c r="B41" s="116">
        <f t="shared" si="41"/>
        <v>2418661.34</v>
      </c>
      <c r="C41" s="95">
        <f t="shared" si="38"/>
        <v>483732.27</v>
      </c>
      <c r="D41" s="98">
        <f t="shared" si="39"/>
        <v>2902393.61</v>
      </c>
      <c r="E41" s="116">
        <f t="shared" si="42"/>
        <v>1807327.36</v>
      </c>
      <c r="F41" s="95">
        <f t="shared" si="43"/>
        <v>361465.47</v>
      </c>
      <c r="G41" s="98">
        <f t="shared" si="44"/>
        <v>2168792.83</v>
      </c>
      <c r="H41" s="111">
        <f t="shared" si="47"/>
        <v>4225988.7</v>
      </c>
      <c r="I41" s="95">
        <f t="shared" si="45"/>
        <v>845197.74</v>
      </c>
      <c r="J41" s="217">
        <v>20</v>
      </c>
      <c r="K41" s="98">
        <f t="shared" si="46"/>
        <v>5071186.4400000004</v>
      </c>
      <c r="L41" s="98">
        <f>L40-SUM(K38:K40)</f>
        <v>921962870.08000004</v>
      </c>
      <c r="M41" s="98"/>
      <c r="N41" s="116">
        <f>$I41*имущество!$F$3/имущество!$F$11</f>
        <v>281920.81</v>
      </c>
      <c r="O41" s="95">
        <f>$I41*имущество!$F$4/имущество!$F$11</f>
        <v>273028.08</v>
      </c>
      <c r="P41" s="95">
        <f>$I41*имущество!$F$5/имущество!$F$11</f>
        <v>263681.3</v>
      </c>
      <c r="Q41" s="95">
        <f>$I41*имущество!$F$6/имущество!$F$11</f>
        <v>2553.81</v>
      </c>
      <c r="R41" s="95">
        <f>$I41*имущество!$F$7/имущество!$F$11</f>
        <v>2553.81</v>
      </c>
      <c r="S41" s="95">
        <f>$I41*имущество!$F$8/имущество!$F$11</f>
        <v>2553.81</v>
      </c>
      <c r="T41" s="95">
        <f>$I41*имущество!$F$9/имущество!$F$11</f>
        <v>15495.93</v>
      </c>
      <c r="U41" s="98">
        <f t="shared" si="40"/>
        <v>3410.19</v>
      </c>
    </row>
    <row r="42" spans="1:21" x14ac:dyDescent="0.25">
      <c r="A42" s="149">
        <v>44501</v>
      </c>
      <c r="B42" s="116">
        <f t="shared" si="41"/>
        <v>2418661.34</v>
      </c>
      <c r="C42" s="95">
        <f t="shared" si="38"/>
        <v>483732.27</v>
      </c>
      <c r="D42" s="98">
        <f t="shared" si="39"/>
        <v>2902393.61</v>
      </c>
      <c r="E42" s="116">
        <f t="shared" si="42"/>
        <v>1807327.36</v>
      </c>
      <c r="F42" s="95">
        <f t="shared" si="43"/>
        <v>361465.47</v>
      </c>
      <c r="G42" s="98">
        <f t="shared" si="44"/>
        <v>2168792.83</v>
      </c>
      <c r="H42" s="111">
        <f t="shared" si="47"/>
        <v>4225988.7</v>
      </c>
      <c r="I42" s="95">
        <f t="shared" si="45"/>
        <v>845197.74</v>
      </c>
      <c r="J42" s="217">
        <v>20</v>
      </c>
      <c r="K42" s="98">
        <f t="shared" si="46"/>
        <v>5071186.4400000004</v>
      </c>
      <c r="L42" s="98">
        <f>L41</f>
        <v>921962870.08000004</v>
      </c>
      <c r="M42" s="98"/>
      <c r="N42" s="116">
        <f>$I42*имущество!$F$3/имущество!$F$11</f>
        <v>281920.81</v>
      </c>
      <c r="O42" s="95">
        <f>$I42*имущество!$F$4/имущество!$F$11</f>
        <v>273028.08</v>
      </c>
      <c r="P42" s="95">
        <f>$I42*имущество!$F$5/имущество!$F$11</f>
        <v>263681.3</v>
      </c>
      <c r="Q42" s="95">
        <f>$I42*имущество!$F$6/имущество!$F$11</f>
        <v>2553.81</v>
      </c>
      <c r="R42" s="95">
        <f>$I42*имущество!$F$7/имущество!$F$11</f>
        <v>2553.81</v>
      </c>
      <c r="S42" s="95">
        <f>$I42*имущество!$F$8/имущество!$F$11</f>
        <v>2553.81</v>
      </c>
      <c r="T42" s="95">
        <f>$I42*имущество!$F$9/имущество!$F$11</f>
        <v>15495.93</v>
      </c>
      <c r="U42" s="98">
        <f t="shared" si="40"/>
        <v>3410.19</v>
      </c>
    </row>
    <row r="43" spans="1:21" ht="18.75" thickBot="1" x14ac:dyDescent="0.3">
      <c r="A43" s="148">
        <v>44531</v>
      </c>
      <c r="B43" s="114">
        <f t="shared" si="41"/>
        <v>2418661.34</v>
      </c>
      <c r="C43" s="102">
        <f t="shared" si="38"/>
        <v>483732.27</v>
      </c>
      <c r="D43" s="103">
        <f t="shared" si="39"/>
        <v>2902393.61</v>
      </c>
      <c r="E43" s="114">
        <f t="shared" si="42"/>
        <v>1807327.37</v>
      </c>
      <c r="F43" s="102">
        <f t="shared" si="43"/>
        <v>361465.47</v>
      </c>
      <c r="G43" s="103">
        <f t="shared" si="44"/>
        <v>2168792.84</v>
      </c>
      <c r="H43" s="109">
        <f>H44-SUM(H32:H42)</f>
        <v>4225988.71</v>
      </c>
      <c r="I43" s="102">
        <f t="shared" si="45"/>
        <v>845197.74</v>
      </c>
      <c r="J43" s="215">
        <v>20</v>
      </c>
      <c r="K43" s="103">
        <f t="shared" si="46"/>
        <v>5071186.45</v>
      </c>
      <c r="L43" s="103">
        <f>L42</f>
        <v>921962870.08000004</v>
      </c>
      <c r="M43" s="103"/>
      <c r="N43" s="114">
        <f>$I43*имущество!$F$3/имущество!$F$11</f>
        <v>281920.81</v>
      </c>
      <c r="O43" s="102">
        <f>$I43*имущество!$F$4/имущество!$F$11</f>
        <v>273028.08</v>
      </c>
      <c r="P43" s="102">
        <f>$I43*имущество!$F$5/имущество!$F$11</f>
        <v>263681.3</v>
      </c>
      <c r="Q43" s="102">
        <f>$I43*имущество!$F$6/имущество!$F$11</f>
        <v>2553.81</v>
      </c>
      <c r="R43" s="102">
        <f>$I43*имущество!$F$7/имущество!$F$11</f>
        <v>2553.81</v>
      </c>
      <c r="S43" s="102">
        <f>$I43*имущество!$F$8/имущество!$F$11</f>
        <v>2553.81</v>
      </c>
      <c r="T43" s="102">
        <f>$I43*имущество!$F$9/имущество!$F$11</f>
        <v>15495.93</v>
      </c>
      <c r="U43" s="103">
        <f t="shared" si="40"/>
        <v>3410.19</v>
      </c>
    </row>
    <row r="44" spans="1:21" s="117" customFormat="1" ht="18.75" thickBot="1" x14ac:dyDescent="0.3">
      <c r="A44" s="106">
        <v>2021</v>
      </c>
      <c r="B44" s="115">
        <f t="shared" ref="B44" si="48">SUM(B32:B43)</f>
        <v>29023936.079999998</v>
      </c>
      <c r="C44" s="104">
        <f t="shared" ref="C44" si="49">SUM(C32:C43)</f>
        <v>5804787.2400000002</v>
      </c>
      <c r="D44" s="105">
        <f t="shared" ref="D44" si="50">SUM(D32:D43)</f>
        <v>34828723.32</v>
      </c>
      <c r="E44" s="115">
        <f t="shared" ref="E44" si="51">SUM(E32:E43)</f>
        <v>21687928.329999998</v>
      </c>
      <c r="F44" s="104">
        <f t="shared" ref="F44" si="52">SUM(F32:F43)</f>
        <v>4337585.6399999997</v>
      </c>
      <c r="G44" s="105">
        <f t="shared" ref="G44" si="53">SUM(G32:G43)</f>
        <v>26025513.969999999</v>
      </c>
      <c r="H44" s="110">
        <f>Лист2!E18</f>
        <v>50711864.409999996</v>
      </c>
      <c r="I44" s="104">
        <f t="shared" ref="I44" si="54">SUM(I32:I43)</f>
        <v>10142372.880000001</v>
      </c>
      <c r="J44" s="216">
        <v>20</v>
      </c>
      <c r="K44" s="105">
        <f t="shared" ref="K44" si="55">SUM(K32:K43)</f>
        <v>60854237.289999999</v>
      </c>
      <c r="L44" s="105">
        <f>L43</f>
        <v>921962870.08000004</v>
      </c>
      <c r="M44" s="105">
        <f>L57</f>
        <v>859102700.63999999</v>
      </c>
      <c r="N44" s="115">
        <f>SUM(N32:N43)</f>
        <v>3383049.72</v>
      </c>
      <c r="O44" s="104">
        <f t="shared" ref="O44:U44" si="56">SUM(O32:O43)</f>
        <v>3276336.96</v>
      </c>
      <c r="P44" s="104">
        <f t="shared" si="56"/>
        <v>3164175.6</v>
      </c>
      <c r="Q44" s="104">
        <f t="shared" si="56"/>
        <v>30645.72</v>
      </c>
      <c r="R44" s="104">
        <f t="shared" si="56"/>
        <v>30645.72</v>
      </c>
      <c r="S44" s="104">
        <f t="shared" si="56"/>
        <v>30645.72</v>
      </c>
      <c r="T44" s="104">
        <f t="shared" si="56"/>
        <v>185951.16</v>
      </c>
      <c r="U44" s="105">
        <f t="shared" si="56"/>
        <v>40922.28</v>
      </c>
    </row>
    <row r="45" spans="1:21" x14ac:dyDescent="0.25">
      <c r="A45" s="147">
        <v>44562</v>
      </c>
      <c r="B45" s="113">
        <f t="shared" ref="B45" si="57">B32</f>
        <v>2418661.34</v>
      </c>
      <c r="C45" s="96">
        <f t="shared" ref="C45:C56" si="58">B45*J45/100</f>
        <v>483732.27</v>
      </c>
      <c r="D45" s="97">
        <f t="shared" ref="D45:D56" si="59">C45+B45</f>
        <v>2902393.61</v>
      </c>
      <c r="E45" s="113">
        <f>H45-B45</f>
        <v>1993061.82</v>
      </c>
      <c r="F45" s="96">
        <f>E45*J45/100</f>
        <v>398612.36</v>
      </c>
      <c r="G45" s="97">
        <f>F45+E45</f>
        <v>2391674.1800000002</v>
      </c>
      <c r="H45" s="108">
        <f>H57/12</f>
        <v>4411723.16</v>
      </c>
      <c r="I45" s="96">
        <f>F45+C45</f>
        <v>882344.63</v>
      </c>
      <c r="J45" s="214">
        <v>20</v>
      </c>
      <c r="K45" s="97">
        <f>I45+H45</f>
        <v>5294067.79</v>
      </c>
      <c r="L45" s="97">
        <f>L44-SUM(K41:K43)</f>
        <v>906749310.75</v>
      </c>
      <c r="M45" s="97"/>
      <c r="N45" s="113">
        <f>$I45*имущество!$F$3/имущество!$F$11</f>
        <v>294311.38</v>
      </c>
      <c r="O45" s="96">
        <f>$I45*имущество!$F$4/имущество!$F$11</f>
        <v>285027.81</v>
      </c>
      <c r="P45" s="96">
        <f>$I45*имущество!$F$5/имущество!$F$11</f>
        <v>275270.24</v>
      </c>
      <c r="Q45" s="96">
        <f>$I45*имущество!$F$6/имущество!$F$11</f>
        <v>2666.05</v>
      </c>
      <c r="R45" s="96">
        <f>$I45*имущество!$F$7/имущество!$F$11</f>
        <v>2666.05</v>
      </c>
      <c r="S45" s="96">
        <f>$I45*имущество!$F$8/имущество!$F$11</f>
        <v>2666.05</v>
      </c>
      <c r="T45" s="96">
        <f>$I45*имущество!$F$9/имущество!$F$11</f>
        <v>16176.98</v>
      </c>
      <c r="U45" s="97">
        <f t="shared" ref="U45:U56" si="60">I45-SUM(N45:T45)</f>
        <v>3560.07</v>
      </c>
    </row>
    <row r="46" spans="1:21" x14ac:dyDescent="0.25">
      <c r="A46" s="149">
        <v>44593</v>
      </c>
      <c r="B46" s="116">
        <f t="shared" ref="B46:B56" si="61">B45</f>
        <v>2418661.34</v>
      </c>
      <c r="C46" s="95">
        <f t="shared" si="58"/>
        <v>483732.27</v>
      </c>
      <c r="D46" s="98">
        <f t="shared" si="59"/>
        <v>2902393.61</v>
      </c>
      <c r="E46" s="116">
        <f t="shared" ref="E46:E56" si="62">H46-B46</f>
        <v>1993061.82</v>
      </c>
      <c r="F46" s="95">
        <f t="shared" ref="F46:F56" si="63">E46*J46/100</f>
        <v>398612.36</v>
      </c>
      <c r="G46" s="98">
        <f t="shared" ref="G46:G56" si="64">F46+E46</f>
        <v>2391674.1800000002</v>
      </c>
      <c r="H46" s="111">
        <f>H45</f>
        <v>4411723.16</v>
      </c>
      <c r="I46" s="95">
        <f t="shared" ref="I46:I56" si="65">F46+C46</f>
        <v>882344.63</v>
      </c>
      <c r="J46" s="217">
        <v>20</v>
      </c>
      <c r="K46" s="98">
        <f t="shared" ref="K46:K56" si="66">I46+H46</f>
        <v>5294067.79</v>
      </c>
      <c r="L46" s="98">
        <f>L45</f>
        <v>906749310.75</v>
      </c>
      <c r="M46" s="98"/>
      <c r="N46" s="116">
        <f>$I46*имущество!$F$3/имущество!$F$11</f>
        <v>294311.38</v>
      </c>
      <c r="O46" s="95">
        <f>$I46*имущество!$F$4/имущество!$F$11</f>
        <v>285027.81</v>
      </c>
      <c r="P46" s="95">
        <f>$I46*имущество!$F$5/имущество!$F$11</f>
        <v>275270.24</v>
      </c>
      <c r="Q46" s="95">
        <f>$I46*имущество!$F$6/имущество!$F$11</f>
        <v>2666.05</v>
      </c>
      <c r="R46" s="95">
        <f>$I46*имущество!$F$7/имущество!$F$11</f>
        <v>2666.05</v>
      </c>
      <c r="S46" s="95">
        <f>$I46*имущество!$F$8/имущество!$F$11</f>
        <v>2666.05</v>
      </c>
      <c r="T46" s="95">
        <f>$I46*имущество!$F$9/имущество!$F$11</f>
        <v>16176.98</v>
      </c>
      <c r="U46" s="98">
        <f t="shared" si="60"/>
        <v>3560.07</v>
      </c>
    </row>
    <row r="47" spans="1:21" x14ac:dyDescent="0.25">
      <c r="A47" s="149">
        <v>44621</v>
      </c>
      <c r="B47" s="116">
        <f t="shared" si="61"/>
        <v>2418661.34</v>
      </c>
      <c r="C47" s="95">
        <f t="shared" si="58"/>
        <v>483732.27</v>
      </c>
      <c r="D47" s="98">
        <f t="shared" si="59"/>
        <v>2902393.61</v>
      </c>
      <c r="E47" s="116">
        <f t="shared" si="62"/>
        <v>1993061.82</v>
      </c>
      <c r="F47" s="95">
        <f t="shared" si="63"/>
        <v>398612.36</v>
      </c>
      <c r="G47" s="98">
        <f t="shared" si="64"/>
        <v>2391674.1800000002</v>
      </c>
      <c r="H47" s="111">
        <f t="shared" ref="H47:H55" si="67">H46</f>
        <v>4411723.16</v>
      </c>
      <c r="I47" s="95">
        <f t="shared" si="65"/>
        <v>882344.63</v>
      </c>
      <c r="J47" s="217">
        <v>20</v>
      </c>
      <c r="K47" s="98">
        <f t="shared" si="66"/>
        <v>5294067.79</v>
      </c>
      <c r="L47" s="98">
        <f>L46</f>
        <v>906749310.75</v>
      </c>
      <c r="M47" s="98"/>
      <c r="N47" s="116">
        <f>$I47*имущество!$F$3/имущество!$F$11</f>
        <v>294311.38</v>
      </c>
      <c r="O47" s="95">
        <f>$I47*имущество!$F$4/имущество!$F$11</f>
        <v>285027.81</v>
      </c>
      <c r="P47" s="95">
        <f>$I47*имущество!$F$5/имущество!$F$11</f>
        <v>275270.24</v>
      </c>
      <c r="Q47" s="95">
        <f>$I47*имущество!$F$6/имущество!$F$11</f>
        <v>2666.05</v>
      </c>
      <c r="R47" s="95">
        <f>$I47*имущество!$F$7/имущество!$F$11</f>
        <v>2666.05</v>
      </c>
      <c r="S47" s="95">
        <f>$I47*имущество!$F$8/имущество!$F$11</f>
        <v>2666.05</v>
      </c>
      <c r="T47" s="95">
        <f>$I47*имущество!$F$9/имущество!$F$11</f>
        <v>16176.98</v>
      </c>
      <c r="U47" s="98">
        <f t="shared" si="60"/>
        <v>3560.07</v>
      </c>
    </row>
    <row r="48" spans="1:21" x14ac:dyDescent="0.25">
      <c r="A48" s="149">
        <v>44652</v>
      </c>
      <c r="B48" s="116">
        <f t="shared" si="61"/>
        <v>2418661.34</v>
      </c>
      <c r="C48" s="95">
        <f t="shared" si="58"/>
        <v>483732.27</v>
      </c>
      <c r="D48" s="98">
        <f t="shared" si="59"/>
        <v>2902393.61</v>
      </c>
      <c r="E48" s="116">
        <f t="shared" si="62"/>
        <v>1993061.82</v>
      </c>
      <c r="F48" s="95">
        <f t="shared" si="63"/>
        <v>398612.36</v>
      </c>
      <c r="G48" s="98">
        <f t="shared" si="64"/>
        <v>2391674.1800000002</v>
      </c>
      <c r="H48" s="111">
        <f t="shared" si="67"/>
        <v>4411723.16</v>
      </c>
      <c r="I48" s="95">
        <f t="shared" si="65"/>
        <v>882344.63</v>
      </c>
      <c r="J48" s="217">
        <v>20</v>
      </c>
      <c r="K48" s="98">
        <f t="shared" si="66"/>
        <v>5294067.79</v>
      </c>
      <c r="L48" s="98">
        <f>L47-SUM(K45:K47)</f>
        <v>890867107.38</v>
      </c>
      <c r="M48" s="98"/>
      <c r="N48" s="116">
        <f>$I48*имущество!$F$3/имущество!$F$11</f>
        <v>294311.38</v>
      </c>
      <c r="O48" s="95">
        <f>$I48*имущество!$F$4/имущество!$F$11</f>
        <v>285027.81</v>
      </c>
      <c r="P48" s="95">
        <f>$I48*имущество!$F$5/имущество!$F$11</f>
        <v>275270.24</v>
      </c>
      <c r="Q48" s="95">
        <f>$I48*имущество!$F$6/имущество!$F$11</f>
        <v>2666.05</v>
      </c>
      <c r="R48" s="95">
        <f>$I48*имущество!$F$7/имущество!$F$11</f>
        <v>2666.05</v>
      </c>
      <c r="S48" s="95">
        <f>$I48*имущество!$F$8/имущество!$F$11</f>
        <v>2666.05</v>
      </c>
      <c r="T48" s="95">
        <f>$I48*имущество!$F$9/имущество!$F$11</f>
        <v>16176.98</v>
      </c>
      <c r="U48" s="98">
        <f t="shared" si="60"/>
        <v>3560.07</v>
      </c>
    </row>
    <row r="49" spans="1:21" x14ac:dyDescent="0.25">
      <c r="A49" s="149">
        <v>44682</v>
      </c>
      <c r="B49" s="116">
        <f t="shared" si="61"/>
        <v>2418661.34</v>
      </c>
      <c r="C49" s="95">
        <f t="shared" si="58"/>
        <v>483732.27</v>
      </c>
      <c r="D49" s="98">
        <f t="shared" si="59"/>
        <v>2902393.61</v>
      </c>
      <c r="E49" s="116">
        <f t="shared" si="62"/>
        <v>1993061.82</v>
      </c>
      <c r="F49" s="95">
        <f t="shared" si="63"/>
        <v>398612.36</v>
      </c>
      <c r="G49" s="98">
        <f t="shared" si="64"/>
        <v>2391674.1800000002</v>
      </c>
      <c r="H49" s="111">
        <f t="shared" si="67"/>
        <v>4411723.16</v>
      </c>
      <c r="I49" s="95">
        <f t="shared" si="65"/>
        <v>882344.63</v>
      </c>
      <c r="J49" s="217">
        <v>20</v>
      </c>
      <c r="K49" s="98">
        <f t="shared" si="66"/>
        <v>5294067.79</v>
      </c>
      <c r="L49" s="98">
        <f>L48</f>
        <v>890867107.38</v>
      </c>
      <c r="M49" s="98"/>
      <c r="N49" s="116">
        <f>$I49*имущество!$F$3/имущество!$F$11</f>
        <v>294311.38</v>
      </c>
      <c r="O49" s="95">
        <f>$I49*имущество!$F$4/имущество!$F$11</f>
        <v>285027.81</v>
      </c>
      <c r="P49" s="95">
        <f>$I49*имущество!$F$5/имущество!$F$11</f>
        <v>275270.24</v>
      </c>
      <c r="Q49" s="95">
        <f>$I49*имущество!$F$6/имущество!$F$11</f>
        <v>2666.05</v>
      </c>
      <c r="R49" s="95">
        <f>$I49*имущество!$F$7/имущество!$F$11</f>
        <v>2666.05</v>
      </c>
      <c r="S49" s="95">
        <f>$I49*имущество!$F$8/имущество!$F$11</f>
        <v>2666.05</v>
      </c>
      <c r="T49" s="95">
        <f>$I49*имущество!$F$9/имущество!$F$11</f>
        <v>16176.98</v>
      </c>
      <c r="U49" s="98">
        <f t="shared" si="60"/>
        <v>3560.07</v>
      </c>
    </row>
    <row r="50" spans="1:21" x14ac:dyDescent="0.25">
      <c r="A50" s="149">
        <v>44713</v>
      </c>
      <c r="B50" s="116">
        <f t="shared" si="61"/>
        <v>2418661.34</v>
      </c>
      <c r="C50" s="95">
        <f t="shared" si="58"/>
        <v>483732.27</v>
      </c>
      <c r="D50" s="98">
        <f t="shared" si="59"/>
        <v>2902393.61</v>
      </c>
      <c r="E50" s="116">
        <f t="shared" si="62"/>
        <v>1993061.82</v>
      </c>
      <c r="F50" s="95">
        <f t="shared" si="63"/>
        <v>398612.36</v>
      </c>
      <c r="G50" s="98">
        <f t="shared" si="64"/>
        <v>2391674.1800000002</v>
      </c>
      <c r="H50" s="111">
        <f t="shared" si="67"/>
        <v>4411723.16</v>
      </c>
      <c r="I50" s="95">
        <f t="shared" si="65"/>
        <v>882344.63</v>
      </c>
      <c r="J50" s="217">
        <v>20</v>
      </c>
      <c r="K50" s="98">
        <f t="shared" si="66"/>
        <v>5294067.79</v>
      </c>
      <c r="L50" s="98">
        <f>L49</f>
        <v>890867107.38</v>
      </c>
      <c r="M50" s="98"/>
      <c r="N50" s="116">
        <f>$I50*имущество!$F$3/имущество!$F$11</f>
        <v>294311.38</v>
      </c>
      <c r="O50" s="95">
        <f>$I50*имущество!$F$4/имущество!$F$11</f>
        <v>285027.81</v>
      </c>
      <c r="P50" s="95">
        <f>$I50*имущество!$F$5/имущество!$F$11</f>
        <v>275270.24</v>
      </c>
      <c r="Q50" s="95">
        <f>$I50*имущество!$F$6/имущество!$F$11</f>
        <v>2666.05</v>
      </c>
      <c r="R50" s="95">
        <f>$I50*имущество!$F$7/имущество!$F$11</f>
        <v>2666.05</v>
      </c>
      <c r="S50" s="95">
        <f>$I50*имущество!$F$8/имущество!$F$11</f>
        <v>2666.05</v>
      </c>
      <c r="T50" s="95">
        <f>$I50*имущество!$F$9/имущество!$F$11</f>
        <v>16176.98</v>
      </c>
      <c r="U50" s="98">
        <f t="shared" si="60"/>
        <v>3560.07</v>
      </c>
    </row>
    <row r="51" spans="1:21" x14ac:dyDescent="0.25">
      <c r="A51" s="149">
        <v>44743</v>
      </c>
      <c r="B51" s="116">
        <f t="shared" si="61"/>
        <v>2418661.34</v>
      </c>
      <c r="C51" s="95">
        <f t="shared" si="58"/>
        <v>483732.27</v>
      </c>
      <c r="D51" s="98">
        <f t="shared" si="59"/>
        <v>2902393.61</v>
      </c>
      <c r="E51" s="116">
        <f t="shared" si="62"/>
        <v>1993061.82</v>
      </c>
      <c r="F51" s="95">
        <f t="shared" si="63"/>
        <v>398612.36</v>
      </c>
      <c r="G51" s="98">
        <f t="shared" si="64"/>
        <v>2391674.1800000002</v>
      </c>
      <c r="H51" s="111">
        <f t="shared" si="67"/>
        <v>4411723.16</v>
      </c>
      <c r="I51" s="95">
        <f t="shared" si="65"/>
        <v>882344.63</v>
      </c>
      <c r="J51" s="217">
        <v>20</v>
      </c>
      <c r="K51" s="98">
        <f t="shared" si="66"/>
        <v>5294067.79</v>
      </c>
      <c r="L51" s="98">
        <f>L50-SUM(K48:K50)</f>
        <v>874984904.00999999</v>
      </c>
      <c r="M51" s="98"/>
      <c r="N51" s="116">
        <f>$I51*имущество!$F$3/имущество!$F$11</f>
        <v>294311.38</v>
      </c>
      <c r="O51" s="95">
        <f>$I51*имущество!$F$4/имущество!$F$11</f>
        <v>285027.81</v>
      </c>
      <c r="P51" s="95">
        <f>$I51*имущество!$F$5/имущество!$F$11</f>
        <v>275270.24</v>
      </c>
      <c r="Q51" s="95">
        <f>$I51*имущество!$F$6/имущество!$F$11</f>
        <v>2666.05</v>
      </c>
      <c r="R51" s="95">
        <f>$I51*имущество!$F$7/имущество!$F$11</f>
        <v>2666.05</v>
      </c>
      <c r="S51" s="95">
        <f>$I51*имущество!$F$8/имущество!$F$11</f>
        <v>2666.05</v>
      </c>
      <c r="T51" s="95">
        <f>$I51*имущество!$F$9/имущество!$F$11</f>
        <v>16176.98</v>
      </c>
      <c r="U51" s="98">
        <f t="shared" si="60"/>
        <v>3560.07</v>
      </c>
    </row>
    <row r="52" spans="1:21" x14ac:dyDescent="0.25">
      <c r="A52" s="149">
        <v>44774</v>
      </c>
      <c r="B52" s="116">
        <f t="shared" si="61"/>
        <v>2418661.34</v>
      </c>
      <c r="C52" s="95">
        <f t="shared" si="58"/>
        <v>483732.27</v>
      </c>
      <c r="D52" s="98">
        <f t="shared" si="59"/>
        <v>2902393.61</v>
      </c>
      <c r="E52" s="116">
        <f t="shared" si="62"/>
        <v>1993061.82</v>
      </c>
      <c r="F52" s="95">
        <f t="shared" si="63"/>
        <v>398612.36</v>
      </c>
      <c r="G52" s="98">
        <f t="shared" si="64"/>
        <v>2391674.1800000002</v>
      </c>
      <c r="H52" s="111">
        <f t="shared" si="67"/>
        <v>4411723.16</v>
      </c>
      <c r="I52" s="95">
        <f t="shared" si="65"/>
        <v>882344.63</v>
      </c>
      <c r="J52" s="217">
        <v>20</v>
      </c>
      <c r="K52" s="98">
        <f t="shared" si="66"/>
        <v>5294067.79</v>
      </c>
      <c r="L52" s="98">
        <f>L51</f>
        <v>874984904.00999999</v>
      </c>
      <c r="M52" s="98"/>
      <c r="N52" s="116">
        <f>$I52*имущество!$F$3/имущество!$F$11</f>
        <v>294311.38</v>
      </c>
      <c r="O52" s="95">
        <f>$I52*имущество!$F$4/имущество!$F$11</f>
        <v>285027.81</v>
      </c>
      <c r="P52" s="95">
        <f>$I52*имущество!$F$5/имущество!$F$11</f>
        <v>275270.24</v>
      </c>
      <c r="Q52" s="95">
        <f>$I52*имущество!$F$6/имущество!$F$11</f>
        <v>2666.05</v>
      </c>
      <c r="R52" s="95">
        <f>$I52*имущество!$F$7/имущество!$F$11</f>
        <v>2666.05</v>
      </c>
      <c r="S52" s="95">
        <f>$I52*имущество!$F$8/имущество!$F$11</f>
        <v>2666.05</v>
      </c>
      <c r="T52" s="95">
        <f>$I52*имущество!$F$9/имущество!$F$11</f>
        <v>16176.98</v>
      </c>
      <c r="U52" s="98">
        <f t="shared" si="60"/>
        <v>3560.07</v>
      </c>
    </row>
    <row r="53" spans="1:21" x14ac:dyDescent="0.25">
      <c r="A53" s="149">
        <v>44805</v>
      </c>
      <c r="B53" s="116">
        <f t="shared" si="61"/>
        <v>2418661.34</v>
      </c>
      <c r="C53" s="95">
        <f t="shared" si="58"/>
        <v>483732.27</v>
      </c>
      <c r="D53" s="98">
        <f t="shared" si="59"/>
        <v>2902393.61</v>
      </c>
      <c r="E53" s="116">
        <f t="shared" si="62"/>
        <v>1993061.82</v>
      </c>
      <c r="F53" s="95">
        <f t="shared" si="63"/>
        <v>398612.36</v>
      </c>
      <c r="G53" s="98">
        <f t="shared" si="64"/>
        <v>2391674.1800000002</v>
      </c>
      <c r="H53" s="111">
        <f t="shared" si="67"/>
        <v>4411723.16</v>
      </c>
      <c r="I53" s="95">
        <f t="shared" si="65"/>
        <v>882344.63</v>
      </c>
      <c r="J53" s="217">
        <v>20</v>
      </c>
      <c r="K53" s="98">
        <f t="shared" si="66"/>
        <v>5294067.79</v>
      </c>
      <c r="L53" s="98">
        <f>L52</f>
        <v>874984904.00999999</v>
      </c>
      <c r="M53" s="98"/>
      <c r="N53" s="116">
        <f>$I53*имущество!$F$3/имущество!$F$11</f>
        <v>294311.38</v>
      </c>
      <c r="O53" s="95">
        <f>$I53*имущество!$F$4/имущество!$F$11</f>
        <v>285027.81</v>
      </c>
      <c r="P53" s="95">
        <f>$I53*имущество!$F$5/имущество!$F$11</f>
        <v>275270.24</v>
      </c>
      <c r="Q53" s="95">
        <f>$I53*имущество!$F$6/имущество!$F$11</f>
        <v>2666.05</v>
      </c>
      <c r="R53" s="95">
        <f>$I53*имущество!$F$7/имущество!$F$11</f>
        <v>2666.05</v>
      </c>
      <c r="S53" s="95">
        <f>$I53*имущество!$F$8/имущество!$F$11</f>
        <v>2666.05</v>
      </c>
      <c r="T53" s="95">
        <f>$I53*имущество!$F$9/имущество!$F$11</f>
        <v>16176.98</v>
      </c>
      <c r="U53" s="98">
        <f t="shared" si="60"/>
        <v>3560.07</v>
      </c>
    </row>
    <row r="54" spans="1:21" x14ac:dyDescent="0.25">
      <c r="A54" s="149">
        <v>44835</v>
      </c>
      <c r="B54" s="116">
        <f t="shared" si="61"/>
        <v>2418661.34</v>
      </c>
      <c r="C54" s="95">
        <f t="shared" si="58"/>
        <v>483732.27</v>
      </c>
      <c r="D54" s="98">
        <f t="shared" si="59"/>
        <v>2902393.61</v>
      </c>
      <c r="E54" s="116">
        <f t="shared" si="62"/>
        <v>1993061.82</v>
      </c>
      <c r="F54" s="95">
        <f t="shared" si="63"/>
        <v>398612.36</v>
      </c>
      <c r="G54" s="98">
        <f t="shared" si="64"/>
        <v>2391674.1800000002</v>
      </c>
      <c r="H54" s="111">
        <f t="shared" si="67"/>
        <v>4411723.16</v>
      </c>
      <c r="I54" s="95">
        <f t="shared" si="65"/>
        <v>882344.63</v>
      </c>
      <c r="J54" s="217">
        <v>20</v>
      </c>
      <c r="K54" s="98">
        <f t="shared" si="66"/>
        <v>5294067.79</v>
      </c>
      <c r="L54" s="98">
        <f>L53-SUM(K51:K53)</f>
        <v>859102700.63999999</v>
      </c>
      <c r="M54" s="98"/>
      <c r="N54" s="116">
        <f>$I54*имущество!$F$3/имущество!$F$11</f>
        <v>294311.38</v>
      </c>
      <c r="O54" s="95">
        <f>$I54*имущество!$F$4/имущество!$F$11</f>
        <v>285027.81</v>
      </c>
      <c r="P54" s="95">
        <f>$I54*имущество!$F$5/имущество!$F$11</f>
        <v>275270.24</v>
      </c>
      <c r="Q54" s="95">
        <f>$I54*имущество!$F$6/имущество!$F$11</f>
        <v>2666.05</v>
      </c>
      <c r="R54" s="95">
        <f>$I54*имущество!$F$7/имущество!$F$11</f>
        <v>2666.05</v>
      </c>
      <c r="S54" s="95">
        <f>$I54*имущество!$F$8/имущество!$F$11</f>
        <v>2666.05</v>
      </c>
      <c r="T54" s="95">
        <f>$I54*имущество!$F$9/имущество!$F$11</f>
        <v>16176.98</v>
      </c>
      <c r="U54" s="98">
        <f t="shared" si="60"/>
        <v>3560.07</v>
      </c>
    </row>
    <row r="55" spans="1:21" x14ac:dyDescent="0.25">
      <c r="A55" s="149">
        <v>44866</v>
      </c>
      <c r="B55" s="116">
        <f t="shared" si="61"/>
        <v>2418661.34</v>
      </c>
      <c r="C55" s="95">
        <f t="shared" si="58"/>
        <v>483732.27</v>
      </c>
      <c r="D55" s="98">
        <f t="shared" si="59"/>
        <v>2902393.61</v>
      </c>
      <c r="E55" s="116">
        <f t="shared" si="62"/>
        <v>1993061.82</v>
      </c>
      <c r="F55" s="95">
        <f t="shared" si="63"/>
        <v>398612.36</v>
      </c>
      <c r="G55" s="98">
        <f t="shared" si="64"/>
        <v>2391674.1800000002</v>
      </c>
      <c r="H55" s="111">
        <f t="shared" si="67"/>
        <v>4411723.16</v>
      </c>
      <c r="I55" s="95">
        <f t="shared" si="65"/>
        <v>882344.63</v>
      </c>
      <c r="J55" s="217">
        <v>20</v>
      </c>
      <c r="K55" s="98">
        <f t="shared" si="66"/>
        <v>5294067.79</v>
      </c>
      <c r="L55" s="98">
        <f>L54</f>
        <v>859102700.63999999</v>
      </c>
      <c r="M55" s="98"/>
      <c r="N55" s="116">
        <f>$I55*имущество!$F$3/имущество!$F$11</f>
        <v>294311.38</v>
      </c>
      <c r="O55" s="95">
        <f>$I55*имущество!$F$4/имущество!$F$11</f>
        <v>285027.81</v>
      </c>
      <c r="P55" s="95">
        <f>$I55*имущество!$F$5/имущество!$F$11</f>
        <v>275270.24</v>
      </c>
      <c r="Q55" s="95">
        <f>$I55*имущество!$F$6/имущество!$F$11</f>
        <v>2666.05</v>
      </c>
      <c r="R55" s="95">
        <f>$I55*имущество!$F$7/имущество!$F$11</f>
        <v>2666.05</v>
      </c>
      <c r="S55" s="95">
        <f>$I55*имущество!$F$8/имущество!$F$11</f>
        <v>2666.05</v>
      </c>
      <c r="T55" s="95">
        <f>$I55*имущество!$F$9/имущество!$F$11</f>
        <v>16176.98</v>
      </c>
      <c r="U55" s="98">
        <f t="shared" si="60"/>
        <v>3560.07</v>
      </c>
    </row>
    <row r="56" spans="1:21" ht="18.75" thickBot="1" x14ac:dyDescent="0.3">
      <c r="A56" s="148">
        <v>44896</v>
      </c>
      <c r="B56" s="114">
        <f t="shared" si="61"/>
        <v>2418661.34</v>
      </c>
      <c r="C56" s="102">
        <f t="shared" si="58"/>
        <v>483732.27</v>
      </c>
      <c r="D56" s="103">
        <f t="shared" si="59"/>
        <v>2902393.61</v>
      </c>
      <c r="E56" s="114">
        <f t="shared" si="62"/>
        <v>1993061.87</v>
      </c>
      <c r="F56" s="102">
        <f t="shared" si="63"/>
        <v>398612.37</v>
      </c>
      <c r="G56" s="103">
        <f t="shared" si="64"/>
        <v>2391674.2400000002</v>
      </c>
      <c r="H56" s="109">
        <f>H57-SUM(H45:H55)</f>
        <v>4411723.21</v>
      </c>
      <c r="I56" s="102">
        <f t="shared" si="65"/>
        <v>882344.64</v>
      </c>
      <c r="J56" s="215">
        <v>20</v>
      </c>
      <c r="K56" s="103">
        <f t="shared" si="66"/>
        <v>5294067.8499999996</v>
      </c>
      <c r="L56" s="103">
        <f>L55</f>
        <v>859102700.63999999</v>
      </c>
      <c r="M56" s="103"/>
      <c r="N56" s="114">
        <f>$I56*имущество!$F$3/имущество!$F$11</f>
        <v>294311.38</v>
      </c>
      <c r="O56" s="102">
        <f>$I56*имущество!$F$4/имущество!$F$11</f>
        <v>285027.81</v>
      </c>
      <c r="P56" s="102">
        <f>$I56*имущество!$F$5/имущество!$F$11</f>
        <v>275270.24</v>
      </c>
      <c r="Q56" s="102">
        <f>$I56*имущество!$F$6/имущество!$F$11</f>
        <v>2666.05</v>
      </c>
      <c r="R56" s="102">
        <f>$I56*имущество!$F$7/имущество!$F$11</f>
        <v>2666.05</v>
      </c>
      <c r="S56" s="102">
        <f>$I56*имущество!$F$8/имущество!$F$11</f>
        <v>2666.05</v>
      </c>
      <c r="T56" s="102">
        <f>$I56*имущество!$F$9/имущество!$F$11</f>
        <v>16176.98</v>
      </c>
      <c r="U56" s="103">
        <f t="shared" si="60"/>
        <v>3560.08</v>
      </c>
    </row>
    <row r="57" spans="1:21" s="117" customFormat="1" ht="18.75" thickBot="1" x14ac:dyDescent="0.3">
      <c r="A57" s="106">
        <v>2022</v>
      </c>
      <c r="B57" s="115">
        <f t="shared" ref="B57" si="68">SUM(B45:B56)</f>
        <v>29023936.079999998</v>
      </c>
      <c r="C57" s="104">
        <f t="shared" ref="C57" si="69">SUM(C45:C56)</f>
        <v>5804787.2400000002</v>
      </c>
      <c r="D57" s="105">
        <f t="shared" ref="D57" si="70">SUM(D45:D56)</f>
        <v>34828723.32</v>
      </c>
      <c r="E57" s="115">
        <f t="shared" ref="E57" si="71">SUM(E45:E56)</f>
        <v>23916741.890000001</v>
      </c>
      <c r="F57" s="104">
        <f t="shared" ref="F57" si="72">SUM(F45:F56)</f>
        <v>4783348.33</v>
      </c>
      <c r="G57" s="105">
        <f t="shared" ref="G57" si="73">SUM(G45:G56)</f>
        <v>28700090.219999999</v>
      </c>
      <c r="H57" s="110">
        <f>Лист2!E19</f>
        <v>52940677.969999999</v>
      </c>
      <c r="I57" s="104">
        <f t="shared" ref="I57" si="74">SUM(I45:I56)</f>
        <v>10588135.57</v>
      </c>
      <c r="J57" s="216">
        <v>20</v>
      </c>
      <c r="K57" s="105">
        <f t="shared" ref="K57" si="75">SUM(K45:K56)</f>
        <v>63528813.539999999</v>
      </c>
      <c r="L57" s="105">
        <f>L56</f>
        <v>859102700.63999999</v>
      </c>
      <c r="M57" s="105">
        <f>L70</f>
        <v>793514564.97000003</v>
      </c>
      <c r="N57" s="115">
        <f>SUM(N45:N56)</f>
        <v>3531736.56</v>
      </c>
      <c r="O57" s="104">
        <f t="shared" ref="O57:U57" si="76">SUM(O45:O56)</f>
        <v>3420333.72</v>
      </c>
      <c r="P57" s="104">
        <f t="shared" si="76"/>
        <v>3303242.88</v>
      </c>
      <c r="Q57" s="104">
        <f t="shared" si="76"/>
        <v>31992.6</v>
      </c>
      <c r="R57" s="104">
        <f t="shared" si="76"/>
        <v>31992.6</v>
      </c>
      <c r="S57" s="104">
        <f t="shared" si="76"/>
        <v>31992.6</v>
      </c>
      <c r="T57" s="104">
        <f t="shared" si="76"/>
        <v>194123.76</v>
      </c>
      <c r="U57" s="105">
        <f t="shared" si="76"/>
        <v>42720.85</v>
      </c>
    </row>
    <row r="58" spans="1:21" x14ac:dyDescent="0.25">
      <c r="A58" s="147">
        <v>44927</v>
      </c>
      <c r="B58" s="113">
        <f t="shared" ref="B58" si="77">B45</f>
        <v>2418661.34</v>
      </c>
      <c r="C58" s="96">
        <f t="shared" ref="C58:C69" si="78">B58*J58/100</f>
        <v>483732.27</v>
      </c>
      <c r="D58" s="97">
        <f t="shared" ref="D58:D69" si="79">C58+B58</f>
        <v>2902393.61</v>
      </c>
      <c r="E58" s="113">
        <f>H58-B58</f>
        <v>2183739.79</v>
      </c>
      <c r="F58" s="96">
        <f>E58*J58/100</f>
        <v>436747.96</v>
      </c>
      <c r="G58" s="97">
        <f>F58+E58</f>
        <v>2620487.75</v>
      </c>
      <c r="H58" s="108">
        <f>H70/12</f>
        <v>4602401.13</v>
      </c>
      <c r="I58" s="96">
        <f>F58+C58</f>
        <v>920480.23</v>
      </c>
      <c r="J58" s="214">
        <v>20</v>
      </c>
      <c r="K58" s="97">
        <f>I58+H58</f>
        <v>5522881.3600000003</v>
      </c>
      <c r="L58" s="97">
        <f>L57-SUM(K54:K56)</f>
        <v>843220497.21000004</v>
      </c>
      <c r="M58" s="97"/>
      <c r="N58" s="113">
        <f>$I58*имущество!$F$3/имущество!$F$11</f>
        <v>307031.74</v>
      </c>
      <c r="O58" s="96">
        <f>$I58*имущество!$F$4/имущество!$F$11</f>
        <v>297346.93</v>
      </c>
      <c r="P58" s="96">
        <f>$I58*имущество!$F$5/имущество!$F$11</f>
        <v>287167.63</v>
      </c>
      <c r="Q58" s="96">
        <f>$I58*имущество!$F$6/имущество!$F$11</f>
        <v>2781.28</v>
      </c>
      <c r="R58" s="96">
        <f>$I58*имущество!$F$7/имущество!$F$11</f>
        <v>2781.28</v>
      </c>
      <c r="S58" s="96">
        <f>$I58*имущество!$F$8/имущество!$F$11</f>
        <v>2781.28</v>
      </c>
      <c r="T58" s="96">
        <f>$I58*имущество!$F$9/имущество!$F$11</f>
        <v>16876.16</v>
      </c>
      <c r="U58" s="97">
        <f t="shared" ref="U58:U69" si="80">I58-SUM(N58:T58)</f>
        <v>3713.93</v>
      </c>
    </row>
    <row r="59" spans="1:21" x14ac:dyDescent="0.25">
      <c r="A59" s="149">
        <v>44958</v>
      </c>
      <c r="B59" s="116">
        <f t="shared" ref="B59:B69" si="81">B58</f>
        <v>2418661.34</v>
      </c>
      <c r="C59" s="95">
        <f t="shared" si="78"/>
        <v>483732.27</v>
      </c>
      <c r="D59" s="98">
        <f t="shared" si="79"/>
        <v>2902393.61</v>
      </c>
      <c r="E59" s="116">
        <f t="shared" ref="E59:E69" si="82">H59-B59</f>
        <v>2183739.79</v>
      </c>
      <c r="F59" s="95">
        <f t="shared" ref="F59:F69" si="83">E59*J59/100</f>
        <v>436747.96</v>
      </c>
      <c r="G59" s="98">
        <f t="shared" ref="G59:G69" si="84">F59+E59</f>
        <v>2620487.75</v>
      </c>
      <c r="H59" s="111">
        <f>H58</f>
        <v>4602401.13</v>
      </c>
      <c r="I59" s="95">
        <f t="shared" ref="I59:I69" si="85">F59+C59</f>
        <v>920480.23</v>
      </c>
      <c r="J59" s="217">
        <v>20</v>
      </c>
      <c r="K59" s="98">
        <f t="shared" ref="K59:K69" si="86">I59+H59</f>
        <v>5522881.3600000003</v>
      </c>
      <c r="L59" s="98">
        <f>L58</f>
        <v>843220497.21000004</v>
      </c>
      <c r="M59" s="98"/>
      <c r="N59" s="116">
        <f>$I59*имущество!$F$3/имущество!$F$11</f>
        <v>307031.74</v>
      </c>
      <c r="O59" s="95">
        <f>$I59*имущество!$F$4/имущество!$F$11</f>
        <v>297346.93</v>
      </c>
      <c r="P59" s="95">
        <f>$I59*имущество!$F$5/имущество!$F$11</f>
        <v>287167.63</v>
      </c>
      <c r="Q59" s="95">
        <f>$I59*имущество!$F$6/имущество!$F$11</f>
        <v>2781.28</v>
      </c>
      <c r="R59" s="95">
        <f>$I59*имущество!$F$7/имущество!$F$11</f>
        <v>2781.28</v>
      </c>
      <c r="S59" s="95">
        <f>$I59*имущество!$F$8/имущество!$F$11</f>
        <v>2781.28</v>
      </c>
      <c r="T59" s="95">
        <f>$I59*имущество!$F$9/имущество!$F$11</f>
        <v>16876.16</v>
      </c>
      <c r="U59" s="98">
        <f t="shared" si="80"/>
        <v>3713.93</v>
      </c>
    </row>
    <row r="60" spans="1:21" x14ac:dyDescent="0.25">
      <c r="A60" s="149">
        <v>44986</v>
      </c>
      <c r="B60" s="116">
        <f t="shared" si="81"/>
        <v>2418661.34</v>
      </c>
      <c r="C60" s="95">
        <f t="shared" si="78"/>
        <v>483732.27</v>
      </c>
      <c r="D60" s="98">
        <f t="shared" si="79"/>
        <v>2902393.61</v>
      </c>
      <c r="E60" s="116">
        <f t="shared" si="82"/>
        <v>2183739.79</v>
      </c>
      <c r="F60" s="95">
        <f t="shared" si="83"/>
        <v>436747.96</v>
      </c>
      <c r="G60" s="98">
        <f t="shared" si="84"/>
        <v>2620487.75</v>
      </c>
      <c r="H60" s="111">
        <f t="shared" ref="H60:H68" si="87">H59</f>
        <v>4602401.13</v>
      </c>
      <c r="I60" s="95">
        <f t="shared" si="85"/>
        <v>920480.23</v>
      </c>
      <c r="J60" s="217">
        <v>20</v>
      </c>
      <c r="K60" s="98">
        <f t="shared" si="86"/>
        <v>5522881.3600000003</v>
      </c>
      <c r="L60" s="98">
        <f>L59</f>
        <v>843220497.21000004</v>
      </c>
      <c r="M60" s="98"/>
      <c r="N60" s="116">
        <f>$I60*имущество!$F$3/имущество!$F$11</f>
        <v>307031.74</v>
      </c>
      <c r="O60" s="95">
        <f>$I60*имущество!$F$4/имущество!$F$11</f>
        <v>297346.93</v>
      </c>
      <c r="P60" s="95">
        <f>$I60*имущество!$F$5/имущество!$F$11</f>
        <v>287167.63</v>
      </c>
      <c r="Q60" s="95">
        <f>$I60*имущество!$F$6/имущество!$F$11</f>
        <v>2781.28</v>
      </c>
      <c r="R60" s="95">
        <f>$I60*имущество!$F$7/имущество!$F$11</f>
        <v>2781.28</v>
      </c>
      <c r="S60" s="95">
        <f>$I60*имущество!$F$8/имущество!$F$11</f>
        <v>2781.28</v>
      </c>
      <c r="T60" s="95">
        <f>$I60*имущество!$F$9/имущество!$F$11</f>
        <v>16876.16</v>
      </c>
      <c r="U60" s="98">
        <f t="shared" si="80"/>
        <v>3713.93</v>
      </c>
    </row>
    <row r="61" spans="1:21" x14ac:dyDescent="0.25">
      <c r="A61" s="149">
        <v>45017</v>
      </c>
      <c r="B61" s="116">
        <f t="shared" si="81"/>
        <v>2418661.34</v>
      </c>
      <c r="C61" s="95">
        <f t="shared" si="78"/>
        <v>483732.27</v>
      </c>
      <c r="D61" s="98">
        <f t="shared" si="79"/>
        <v>2902393.61</v>
      </c>
      <c r="E61" s="116">
        <f t="shared" si="82"/>
        <v>2183739.79</v>
      </c>
      <c r="F61" s="95">
        <f t="shared" si="83"/>
        <v>436747.96</v>
      </c>
      <c r="G61" s="98">
        <f t="shared" si="84"/>
        <v>2620487.75</v>
      </c>
      <c r="H61" s="111">
        <f t="shared" si="87"/>
        <v>4602401.13</v>
      </c>
      <c r="I61" s="95">
        <f t="shared" si="85"/>
        <v>920480.23</v>
      </c>
      <c r="J61" s="217">
        <v>20</v>
      </c>
      <c r="K61" s="98">
        <f t="shared" si="86"/>
        <v>5522881.3600000003</v>
      </c>
      <c r="L61" s="98">
        <f>L60-SUM(K58:K60)</f>
        <v>826651853.13</v>
      </c>
      <c r="M61" s="98"/>
      <c r="N61" s="116">
        <f>$I61*имущество!$F$3/имущество!$F$11</f>
        <v>307031.74</v>
      </c>
      <c r="O61" s="95">
        <f>$I61*имущество!$F$4/имущество!$F$11</f>
        <v>297346.93</v>
      </c>
      <c r="P61" s="95">
        <f>$I61*имущество!$F$5/имущество!$F$11</f>
        <v>287167.63</v>
      </c>
      <c r="Q61" s="95">
        <f>$I61*имущество!$F$6/имущество!$F$11</f>
        <v>2781.28</v>
      </c>
      <c r="R61" s="95">
        <f>$I61*имущество!$F$7/имущество!$F$11</f>
        <v>2781.28</v>
      </c>
      <c r="S61" s="95">
        <f>$I61*имущество!$F$8/имущество!$F$11</f>
        <v>2781.28</v>
      </c>
      <c r="T61" s="95">
        <f>$I61*имущество!$F$9/имущество!$F$11</f>
        <v>16876.16</v>
      </c>
      <c r="U61" s="98">
        <f t="shared" si="80"/>
        <v>3713.93</v>
      </c>
    </row>
    <row r="62" spans="1:21" x14ac:dyDescent="0.25">
      <c r="A62" s="149">
        <v>45047</v>
      </c>
      <c r="B62" s="116">
        <f t="shared" si="81"/>
        <v>2418661.34</v>
      </c>
      <c r="C62" s="95">
        <f t="shared" si="78"/>
        <v>483732.27</v>
      </c>
      <c r="D62" s="98">
        <f t="shared" si="79"/>
        <v>2902393.61</v>
      </c>
      <c r="E62" s="116">
        <f t="shared" si="82"/>
        <v>2183739.79</v>
      </c>
      <c r="F62" s="95">
        <f t="shared" si="83"/>
        <v>436747.96</v>
      </c>
      <c r="G62" s="98">
        <f t="shared" si="84"/>
        <v>2620487.75</v>
      </c>
      <c r="H62" s="111">
        <f t="shared" si="87"/>
        <v>4602401.13</v>
      </c>
      <c r="I62" s="95">
        <f t="shared" si="85"/>
        <v>920480.23</v>
      </c>
      <c r="J62" s="217">
        <v>20</v>
      </c>
      <c r="K62" s="98">
        <f t="shared" si="86"/>
        <v>5522881.3600000003</v>
      </c>
      <c r="L62" s="98">
        <f>L61</f>
        <v>826651853.13</v>
      </c>
      <c r="M62" s="98"/>
      <c r="N62" s="116">
        <f>$I62*имущество!$F$3/имущество!$F$11</f>
        <v>307031.74</v>
      </c>
      <c r="O62" s="95">
        <f>$I62*имущество!$F$4/имущество!$F$11</f>
        <v>297346.93</v>
      </c>
      <c r="P62" s="95">
        <f>$I62*имущество!$F$5/имущество!$F$11</f>
        <v>287167.63</v>
      </c>
      <c r="Q62" s="95">
        <f>$I62*имущество!$F$6/имущество!$F$11</f>
        <v>2781.28</v>
      </c>
      <c r="R62" s="95">
        <f>$I62*имущество!$F$7/имущество!$F$11</f>
        <v>2781.28</v>
      </c>
      <c r="S62" s="95">
        <f>$I62*имущество!$F$8/имущество!$F$11</f>
        <v>2781.28</v>
      </c>
      <c r="T62" s="95">
        <f>$I62*имущество!$F$9/имущество!$F$11</f>
        <v>16876.16</v>
      </c>
      <c r="U62" s="98">
        <f t="shared" si="80"/>
        <v>3713.93</v>
      </c>
    </row>
    <row r="63" spans="1:21" x14ac:dyDescent="0.25">
      <c r="A63" s="149">
        <v>45078</v>
      </c>
      <c r="B63" s="116">
        <f t="shared" si="81"/>
        <v>2418661.34</v>
      </c>
      <c r="C63" s="95">
        <f t="shared" si="78"/>
        <v>483732.27</v>
      </c>
      <c r="D63" s="98">
        <f t="shared" si="79"/>
        <v>2902393.61</v>
      </c>
      <c r="E63" s="116">
        <f t="shared" si="82"/>
        <v>2183739.79</v>
      </c>
      <c r="F63" s="95">
        <f t="shared" si="83"/>
        <v>436747.96</v>
      </c>
      <c r="G63" s="98">
        <f t="shared" si="84"/>
        <v>2620487.75</v>
      </c>
      <c r="H63" s="111">
        <f t="shared" si="87"/>
        <v>4602401.13</v>
      </c>
      <c r="I63" s="95">
        <f t="shared" si="85"/>
        <v>920480.23</v>
      </c>
      <c r="J63" s="217">
        <v>20</v>
      </c>
      <c r="K63" s="98">
        <f t="shared" si="86"/>
        <v>5522881.3600000003</v>
      </c>
      <c r="L63" s="98">
        <f>L62</f>
        <v>826651853.13</v>
      </c>
      <c r="M63" s="98"/>
      <c r="N63" s="116">
        <f>$I63*имущество!$F$3/имущество!$F$11</f>
        <v>307031.74</v>
      </c>
      <c r="O63" s="95">
        <f>$I63*имущество!$F$4/имущество!$F$11</f>
        <v>297346.93</v>
      </c>
      <c r="P63" s="95">
        <f>$I63*имущество!$F$5/имущество!$F$11</f>
        <v>287167.63</v>
      </c>
      <c r="Q63" s="95">
        <f>$I63*имущество!$F$6/имущество!$F$11</f>
        <v>2781.28</v>
      </c>
      <c r="R63" s="95">
        <f>$I63*имущество!$F$7/имущество!$F$11</f>
        <v>2781.28</v>
      </c>
      <c r="S63" s="95">
        <f>$I63*имущество!$F$8/имущество!$F$11</f>
        <v>2781.28</v>
      </c>
      <c r="T63" s="95">
        <f>$I63*имущество!$F$9/имущество!$F$11</f>
        <v>16876.16</v>
      </c>
      <c r="U63" s="98">
        <f t="shared" si="80"/>
        <v>3713.93</v>
      </c>
    </row>
    <row r="64" spans="1:21" x14ac:dyDescent="0.25">
      <c r="A64" s="149">
        <v>45108</v>
      </c>
      <c r="B64" s="116">
        <f t="shared" si="81"/>
        <v>2418661.34</v>
      </c>
      <c r="C64" s="95">
        <f t="shared" si="78"/>
        <v>483732.27</v>
      </c>
      <c r="D64" s="98">
        <f t="shared" si="79"/>
        <v>2902393.61</v>
      </c>
      <c r="E64" s="116">
        <f t="shared" si="82"/>
        <v>2183739.79</v>
      </c>
      <c r="F64" s="95">
        <f t="shared" si="83"/>
        <v>436747.96</v>
      </c>
      <c r="G64" s="98">
        <f t="shared" si="84"/>
        <v>2620487.75</v>
      </c>
      <c r="H64" s="111">
        <f t="shared" si="87"/>
        <v>4602401.13</v>
      </c>
      <c r="I64" s="95">
        <f t="shared" si="85"/>
        <v>920480.23</v>
      </c>
      <c r="J64" s="217">
        <v>20</v>
      </c>
      <c r="K64" s="98">
        <f t="shared" si="86"/>
        <v>5522881.3600000003</v>
      </c>
      <c r="L64" s="98">
        <f>L63-SUM(K61:K63)</f>
        <v>810083209.04999995</v>
      </c>
      <c r="M64" s="98"/>
      <c r="N64" s="116">
        <f>$I64*имущество!$F$3/имущество!$F$11</f>
        <v>307031.74</v>
      </c>
      <c r="O64" s="95">
        <f>$I64*имущество!$F$4/имущество!$F$11</f>
        <v>297346.93</v>
      </c>
      <c r="P64" s="95">
        <f>$I64*имущество!$F$5/имущество!$F$11</f>
        <v>287167.63</v>
      </c>
      <c r="Q64" s="95">
        <f>$I64*имущество!$F$6/имущество!$F$11</f>
        <v>2781.28</v>
      </c>
      <c r="R64" s="95">
        <f>$I64*имущество!$F$7/имущество!$F$11</f>
        <v>2781.28</v>
      </c>
      <c r="S64" s="95">
        <f>$I64*имущество!$F$8/имущество!$F$11</f>
        <v>2781.28</v>
      </c>
      <c r="T64" s="95">
        <f>$I64*имущество!$F$9/имущество!$F$11</f>
        <v>16876.16</v>
      </c>
      <c r="U64" s="98">
        <f t="shared" si="80"/>
        <v>3713.93</v>
      </c>
    </row>
    <row r="65" spans="1:21" x14ac:dyDescent="0.25">
      <c r="A65" s="149">
        <v>45139</v>
      </c>
      <c r="B65" s="116">
        <f t="shared" si="81"/>
        <v>2418661.34</v>
      </c>
      <c r="C65" s="95">
        <f t="shared" si="78"/>
        <v>483732.27</v>
      </c>
      <c r="D65" s="98">
        <f t="shared" si="79"/>
        <v>2902393.61</v>
      </c>
      <c r="E65" s="116">
        <f t="shared" si="82"/>
        <v>2183739.79</v>
      </c>
      <c r="F65" s="95">
        <f t="shared" si="83"/>
        <v>436747.96</v>
      </c>
      <c r="G65" s="98">
        <f t="shared" si="84"/>
        <v>2620487.75</v>
      </c>
      <c r="H65" s="111">
        <f t="shared" si="87"/>
        <v>4602401.13</v>
      </c>
      <c r="I65" s="95">
        <f t="shared" si="85"/>
        <v>920480.23</v>
      </c>
      <c r="J65" s="217">
        <v>20</v>
      </c>
      <c r="K65" s="98">
        <f t="shared" si="86"/>
        <v>5522881.3600000003</v>
      </c>
      <c r="L65" s="98">
        <f>L64</f>
        <v>810083209.04999995</v>
      </c>
      <c r="M65" s="98"/>
      <c r="N65" s="116">
        <f>$I65*имущество!$F$3/имущество!$F$11</f>
        <v>307031.74</v>
      </c>
      <c r="O65" s="95">
        <f>$I65*имущество!$F$4/имущество!$F$11</f>
        <v>297346.93</v>
      </c>
      <c r="P65" s="95">
        <f>$I65*имущество!$F$5/имущество!$F$11</f>
        <v>287167.63</v>
      </c>
      <c r="Q65" s="95">
        <f>$I65*имущество!$F$6/имущество!$F$11</f>
        <v>2781.28</v>
      </c>
      <c r="R65" s="95">
        <f>$I65*имущество!$F$7/имущество!$F$11</f>
        <v>2781.28</v>
      </c>
      <c r="S65" s="95">
        <f>$I65*имущество!$F$8/имущество!$F$11</f>
        <v>2781.28</v>
      </c>
      <c r="T65" s="95">
        <f>$I65*имущество!$F$9/имущество!$F$11</f>
        <v>16876.16</v>
      </c>
      <c r="U65" s="98">
        <f t="shared" si="80"/>
        <v>3713.93</v>
      </c>
    </row>
    <row r="66" spans="1:21" x14ac:dyDescent="0.25">
      <c r="A66" s="149">
        <v>45170</v>
      </c>
      <c r="B66" s="116">
        <f t="shared" si="81"/>
        <v>2418661.34</v>
      </c>
      <c r="C66" s="95">
        <f t="shared" si="78"/>
        <v>483732.27</v>
      </c>
      <c r="D66" s="98">
        <f t="shared" si="79"/>
        <v>2902393.61</v>
      </c>
      <c r="E66" s="116">
        <f t="shared" si="82"/>
        <v>2183739.79</v>
      </c>
      <c r="F66" s="95">
        <f t="shared" si="83"/>
        <v>436747.96</v>
      </c>
      <c r="G66" s="98">
        <f t="shared" si="84"/>
        <v>2620487.75</v>
      </c>
      <c r="H66" s="111">
        <f t="shared" si="87"/>
        <v>4602401.13</v>
      </c>
      <c r="I66" s="95">
        <f t="shared" si="85"/>
        <v>920480.23</v>
      </c>
      <c r="J66" s="217">
        <v>20</v>
      </c>
      <c r="K66" s="98">
        <f t="shared" si="86"/>
        <v>5522881.3600000003</v>
      </c>
      <c r="L66" s="98">
        <f>L65</f>
        <v>810083209.04999995</v>
      </c>
      <c r="M66" s="98"/>
      <c r="N66" s="116">
        <f>$I66*имущество!$F$3/имущество!$F$11</f>
        <v>307031.74</v>
      </c>
      <c r="O66" s="95">
        <f>$I66*имущество!$F$4/имущество!$F$11</f>
        <v>297346.93</v>
      </c>
      <c r="P66" s="95">
        <f>$I66*имущество!$F$5/имущество!$F$11</f>
        <v>287167.63</v>
      </c>
      <c r="Q66" s="95">
        <f>$I66*имущество!$F$6/имущество!$F$11</f>
        <v>2781.28</v>
      </c>
      <c r="R66" s="95">
        <f>$I66*имущество!$F$7/имущество!$F$11</f>
        <v>2781.28</v>
      </c>
      <c r="S66" s="95">
        <f>$I66*имущество!$F$8/имущество!$F$11</f>
        <v>2781.28</v>
      </c>
      <c r="T66" s="95">
        <f>$I66*имущество!$F$9/имущество!$F$11</f>
        <v>16876.16</v>
      </c>
      <c r="U66" s="98">
        <f t="shared" si="80"/>
        <v>3713.93</v>
      </c>
    </row>
    <row r="67" spans="1:21" x14ac:dyDescent="0.25">
      <c r="A67" s="149">
        <v>45200</v>
      </c>
      <c r="B67" s="116">
        <f t="shared" si="81"/>
        <v>2418661.34</v>
      </c>
      <c r="C67" s="95">
        <f t="shared" si="78"/>
        <v>483732.27</v>
      </c>
      <c r="D67" s="98">
        <f t="shared" si="79"/>
        <v>2902393.61</v>
      </c>
      <c r="E67" s="116">
        <f t="shared" si="82"/>
        <v>2183739.79</v>
      </c>
      <c r="F67" s="95">
        <f t="shared" si="83"/>
        <v>436747.96</v>
      </c>
      <c r="G67" s="98">
        <f t="shared" si="84"/>
        <v>2620487.75</v>
      </c>
      <c r="H67" s="111">
        <f t="shared" si="87"/>
        <v>4602401.13</v>
      </c>
      <c r="I67" s="95">
        <f t="shared" si="85"/>
        <v>920480.23</v>
      </c>
      <c r="J67" s="217">
        <v>20</v>
      </c>
      <c r="K67" s="98">
        <f t="shared" si="86"/>
        <v>5522881.3600000003</v>
      </c>
      <c r="L67" s="98">
        <f>L66-SUM(K64:K66)</f>
        <v>793514564.97000003</v>
      </c>
      <c r="M67" s="98"/>
      <c r="N67" s="116">
        <f>$I67*имущество!$F$3/имущество!$F$11</f>
        <v>307031.74</v>
      </c>
      <c r="O67" s="95">
        <f>$I67*имущество!$F$4/имущество!$F$11</f>
        <v>297346.93</v>
      </c>
      <c r="P67" s="95">
        <f>$I67*имущество!$F$5/имущество!$F$11</f>
        <v>287167.63</v>
      </c>
      <c r="Q67" s="95">
        <f>$I67*имущество!$F$6/имущество!$F$11</f>
        <v>2781.28</v>
      </c>
      <c r="R67" s="95">
        <f>$I67*имущество!$F$7/имущество!$F$11</f>
        <v>2781.28</v>
      </c>
      <c r="S67" s="95">
        <f>$I67*имущество!$F$8/имущество!$F$11</f>
        <v>2781.28</v>
      </c>
      <c r="T67" s="95">
        <f>$I67*имущество!$F$9/имущество!$F$11</f>
        <v>16876.16</v>
      </c>
      <c r="U67" s="98">
        <f t="shared" si="80"/>
        <v>3713.93</v>
      </c>
    </row>
    <row r="68" spans="1:21" x14ac:dyDescent="0.25">
      <c r="A68" s="149">
        <v>45231</v>
      </c>
      <c r="B68" s="116">
        <f t="shared" si="81"/>
        <v>2418661.34</v>
      </c>
      <c r="C68" s="95">
        <f t="shared" si="78"/>
        <v>483732.27</v>
      </c>
      <c r="D68" s="98">
        <f t="shared" si="79"/>
        <v>2902393.61</v>
      </c>
      <c r="E68" s="116">
        <f t="shared" si="82"/>
        <v>2183739.79</v>
      </c>
      <c r="F68" s="95">
        <f t="shared" si="83"/>
        <v>436747.96</v>
      </c>
      <c r="G68" s="98">
        <f t="shared" si="84"/>
        <v>2620487.75</v>
      </c>
      <c r="H68" s="111">
        <f t="shared" si="87"/>
        <v>4602401.13</v>
      </c>
      <c r="I68" s="95">
        <f t="shared" si="85"/>
        <v>920480.23</v>
      </c>
      <c r="J68" s="217">
        <v>20</v>
      </c>
      <c r="K68" s="98">
        <f t="shared" si="86"/>
        <v>5522881.3600000003</v>
      </c>
      <c r="L68" s="98">
        <f>L67</f>
        <v>793514564.97000003</v>
      </c>
      <c r="M68" s="98"/>
      <c r="N68" s="116">
        <f>$I68*имущество!$F$3/имущество!$F$11</f>
        <v>307031.74</v>
      </c>
      <c r="O68" s="95">
        <f>$I68*имущество!$F$4/имущество!$F$11</f>
        <v>297346.93</v>
      </c>
      <c r="P68" s="95">
        <f>$I68*имущество!$F$5/имущество!$F$11</f>
        <v>287167.63</v>
      </c>
      <c r="Q68" s="95">
        <f>$I68*имущество!$F$6/имущество!$F$11</f>
        <v>2781.28</v>
      </c>
      <c r="R68" s="95">
        <f>$I68*имущество!$F$7/имущество!$F$11</f>
        <v>2781.28</v>
      </c>
      <c r="S68" s="95">
        <f>$I68*имущество!$F$8/имущество!$F$11</f>
        <v>2781.28</v>
      </c>
      <c r="T68" s="95">
        <f>$I68*имущество!$F$9/имущество!$F$11</f>
        <v>16876.16</v>
      </c>
      <c r="U68" s="98">
        <f t="shared" si="80"/>
        <v>3713.93</v>
      </c>
    </row>
    <row r="69" spans="1:21" ht="18.75" thickBot="1" x14ac:dyDescent="0.3">
      <c r="A69" s="148">
        <v>45261</v>
      </c>
      <c r="B69" s="114">
        <f t="shared" si="81"/>
        <v>2418661.34</v>
      </c>
      <c r="C69" s="102">
        <f t="shared" si="78"/>
        <v>483732.27</v>
      </c>
      <c r="D69" s="103">
        <f t="shared" si="79"/>
        <v>2902393.61</v>
      </c>
      <c r="E69" s="114">
        <f t="shared" si="82"/>
        <v>2183739.79</v>
      </c>
      <c r="F69" s="102">
        <f t="shared" si="83"/>
        <v>436747.96</v>
      </c>
      <c r="G69" s="103">
        <f t="shared" si="84"/>
        <v>2620487.75</v>
      </c>
      <c r="H69" s="109">
        <f>H70-SUM(H58:H68)</f>
        <v>4602401.13</v>
      </c>
      <c r="I69" s="102">
        <f t="shared" si="85"/>
        <v>920480.23</v>
      </c>
      <c r="J69" s="215">
        <v>20</v>
      </c>
      <c r="K69" s="103">
        <f t="shared" si="86"/>
        <v>5522881.3600000003</v>
      </c>
      <c r="L69" s="103">
        <f>L68</f>
        <v>793514564.97000003</v>
      </c>
      <c r="M69" s="103"/>
      <c r="N69" s="114">
        <f>$I69*имущество!$F$3/имущество!$F$11</f>
        <v>307031.74</v>
      </c>
      <c r="O69" s="102">
        <f>$I69*имущество!$F$4/имущество!$F$11</f>
        <v>297346.93</v>
      </c>
      <c r="P69" s="102">
        <f>$I69*имущество!$F$5/имущество!$F$11</f>
        <v>287167.63</v>
      </c>
      <c r="Q69" s="102">
        <f>$I69*имущество!$F$6/имущество!$F$11</f>
        <v>2781.28</v>
      </c>
      <c r="R69" s="102">
        <f>$I69*имущество!$F$7/имущество!$F$11</f>
        <v>2781.28</v>
      </c>
      <c r="S69" s="102">
        <f>$I69*имущество!$F$8/имущество!$F$11</f>
        <v>2781.28</v>
      </c>
      <c r="T69" s="102">
        <f>$I69*имущество!$F$9/имущество!$F$11</f>
        <v>16876.16</v>
      </c>
      <c r="U69" s="103">
        <f t="shared" si="80"/>
        <v>3713.93</v>
      </c>
    </row>
    <row r="70" spans="1:21" s="117" customFormat="1" ht="18.75" thickBot="1" x14ac:dyDescent="0.3">
      <c r="A70" s="106">
        <v>2023</v>
      </c>
      <c r="B70" s="115">
        <f t="shared" ref="B70" si="88">SUM(B58:B69)</f>
        <v>29023936.079999998</v>
      </c>
      <c r="C70" s="104">
        <f t="shared" ref="C70" si="89">SUM(C58:C69)</f>
        <v>5804787.2400000002</v>
      </c>
      <c r="D70" s="105">
        <f t="shared" ref="D70" si="90">SUM(D58:D69)</f>
        <v>34828723.32</v>
      </c>
      <c r="E70" s="115">
        <f t="shared" ref="E70" si="91">SUM(E58:E69)</f>
        <v>26204877.48</v>
      </c>
      <c r="F70" s="104">
        <f t="shared" ref="F70" si="92">SUM(F58:F69)</f>
        <v>5240975.5199999996</v>
      </c>
      <c r="G70" s="105">
        <f t="shared" ref="G70" si="93">SUM(G58:G69)</f>
        <v>31445853</v>
      </c>
      <c r="H70" s="110">
        <f>Лист2!E20</f>
        <v>55228813.560000002</v>
      </c>
      <c r="I70" s="104">
        <f t="shared" ref="I70" si="94">SUM(I58:I69)</f>
        <v>11045762.76</v>
      </c>
      <c r="J70" s="216">
        <v>20</v>
      </c>
      <c r="K70" s="105">
        <f t="shared" ref="K70" si="95">SUM(K58:K69)</f>
        <v>66274576.32</v>
      </c>
      <c r="L70" s="105">
        <f>L69</f>
        <v>793514564.97000003</v>
      </c>
      <c r="M70" s="105">
        <f>L83</f>
        <v>725134903.95000005</v>
      </c>
      <c r="N70" s="115">
        <f>SUM(N58:N69)</f>
        <v>3684380.88</v>
      </c>
      <c r="O70" s="104">
        <f t="shared" ref="O70:U70" si="96">SUM(O58:O69)</f>
        <v>3568163.16</v>
      </c>
      <c r="P70" s="104">
        <f t="shared" si="96"/>
        <v>3446011.56</v>
      </c>
      <c r="Q70" s="104">
        <f t="shared" si="96"/>
        <v>33375.360000000001</v>
      </c>
      <c r="R70" s="104">
        <f t="shared" si="96"/>
        <v>33375.360000000001</v>
      </c>
      <c r="S70" s="104">
        <f t="shared" si="96"/>
        <v>33375.360000000001</v>
      </c>
      <c r="T70" s="104">
        <f t="shared" si="96"/>
        <v>202513.92000000001</v>
      </c>
      <c r="U70" s="105">
        <f t="shared" si="96"/>
        <v>44567.16</v>
      </c>
    </row>
    <row r="71" spans="1:21" x14ac:dyDescent="0.25">
      <c r="A71" s="147">
        <v>45292</v>
      </c>
      <c r="B71" s="113">
        <f t="shared" ref="B71" si="97">B58</f>
        <v>2418661.34</v>
      </c>
      <c r="C71" s="96">
        <f t="shared" ref="C71:C82" si="98">B71*J71/100</f>
        <v>483732.27</v>
      </c>
      <c r="D71" s="97">
        <f t="shared" ref="D71:D82" si="99">C71+B71</f>
        <v>2902393.61</v>
      </c>
      <c r="E71" s="113">
        <f>H71-B71</f>
        <v>2378655.04</v>
      </c>
      <c r="F71" s="96">
        <f>E71*J71/100</f>
        <v>475731.01</v>
      </c>
      <c r="G71" s="97">
        <f>F71+E71</f>
        <v>2854386.05</v>
      </c>
      <c r="H71" s="108">
        <f>H83/12</f>
        <v>4797316.38</v>
      </c>
      <c r="I71" s="96">
        <f>F71+C71</f>
        <v>959463.28</v>
      </c>
      <c r="J71" s="214">
        <v>20</v>
      </c>
      <c r="K71" s="97">
        <f>I71+H71</f>
        <v>5756779.6600000001</v>
      </c>
      <c r="L71" s="97">
        <f>L70-SUM(K67:K69)</f>
        <v>776945920.88999999</v>
      </c>
      <c r="M71" s="97"/>
      <c r="N71" s="113">
        <f>$I71*имущество!$F$3/имущество!$F$11</f>
        <v>320034.77</v>
      </c>
      <c r="O71" s="96">
        <f>$I71*имущество!$F$4/имущество!$F$11</f>
        <v>309939.8</v>
      </c>
      <c r="P71" s="96">
        <f>$I71*имущество!$F$5/имущество!$F$11</f>
        <v>299329.40000000002</v>
      </c>
      <c r="Q71" s="96">
        <f>$I71*имущество!$F$6/имущество!$F$11</f>
        <v>2899.07</v>
      </c>
      <c r="R71" s="96">
        <f>$I71*имущество!$F$7/имущество!$F$11</f>
        <v>2899.07</v>
      </c>
      <c r="S71" s="96">
        <f>$I71*имущество!$F$8/имущество!$F$11</f>
        <v>2899.07</v>
      </c>
      <c r="T71" s="96">
        <f>$I71*имущество!$F$9/имущество!$F$11</f>
        <v>17590.88</v>
      </c>
      <c r="U71" s="97">
        <f t="shared" ref="U71:U82" si="100">I71-SUM(N71:T71)</f>
        <v>3871.22</v>
      </c>
    </row>
    <row r="72" spans="1:21" x14ac:dyDescent="0.25">
      <c r="A72" s="149">
        <v>45323</v>
      </c>
      <c r="B72" s="116">
        <f t="shared" ref="B72:B82" si="101">B71</f>
        <v>2418661.34</v>
      </c>
      <c r="C72" s="95">
        <f t="shared" si="98"/>
        <v>483732.27</v>
      </c>
      <c r="D72" s="98">
        <f t="shared" si="99"/>
        <v>2902393.61</v>
      </c>
      <c r="E72" s="116">
        <f t="shared" ref="E72:E82" si="102">H72-B72</f>
        <v>2378655.04</v>
      </c>
      <c r="F72" s="95">
        <f t="shared" ref="F72:F82" si="103">E72*J72/100</f>
        <v>475731.01</v>
      </c>
      <c r="G72" s="98">
        <f t="shared" ref="G72:G82" si="104">F72+E72</f>
        <v>2854386.05</v>
      </c>
      <c r="H72" s="111">
        <f>H71</f>
        <v>4797316.38</v>
      </c>
      <c r="I72" s="95">
        <f t="shared" ref="I72:I82" si="105">F72+C72</f>
        <v>959463.28</v>
      </c>
      <c r="J72" s="217">
        <v>20</v>
      </c>
      <c r="K72" s="98">
        <f t="shared" ref="K72:K82" si="106">I72+H72</f>
        <v>5756779.6600000001</v>
      </c>
      <c r="L72" s="98">
        <f>L71</f>
        <v>776945920.88999999</v>
      </c>
      <c r="M72" s="98"/>
      <c r="N72" s="116">
        <f>$I72*имущество!$F$3/имущество!$F$11</f>
        <v>320034.77</v>
      </c>
      <c r="O72" s="95">
        <f>$I72*имущество!$F$4/имущество!$F$11</f>
        <v>309939.8</v>
      </c>
      <c r="P72" s="95">
        <f>$I72*имущество!$F$5/имущество!$F$11</f>
        <v>299329.40000000002</v>
      </c>
      <c r="Q72" s="95">
        <f>$I72*имущество!$F$6/имущество!$F$11</f>
        <v>2899.07</v>
      </c>
      <c r="R72" s="95">
        <f>$I72*имущество!$F$7/имущество!$F$11</f>
        <v>2899.07</v>
      </c>
      <c r="S72" s="95">
        <f>$I72*имущество!$F$8/имущество!$F$11</f>
        <v>2899.07</v>
      </c>
      <c r="T72" s="95">
        <f>$I72*имущество!$F$9/имущество!$F$11</f>
        <v>17590.88</v>
      </c>
      <c r="U72" s="98">
        <f t="shared" si="100"/>
        <v>3871.22</v>
      </c>
    </row>
    <row r="73" spans="1:21" x14ac:dyDescent="0.25">
      <c r="A73" s="149">
        <v>45352</v>
      </c>
      <c r="B73" s="116">
        <f t="shared" si="101"/>
        <v>2418661.34</v>
      </c>
      <c r="C73" s="95">
        <f t="shared" si="98"/>
        <v>483732.27</v>
      </c>
      <c r="D73" s="98">
        <f t="shared" si="99"/>
        <v>2902393.61</v>
      </c>
      <c r="E73" s="116">
        <f t="shared" si="102"/>
        <v>2378655.04</v>
      </c>
      <c r="F73" s="95">
        <f t="shared" si="103"/>
        <v>475731.01</v>
      </c>
      <c r="G73" s="98">
        <f t="shared" si="104"/>
        <v>2854386.05</v>
      </c>
      <c r="H73" s="111">
        <f t="shared" ref="H73:H81" si="107">H72</f>
        <v>4797316.38</v>
      </c>
      <c r="I73" s="95">
        <f t="shared" si="105"/>
        <v>959463.28</v>
      </c>
      <c r="J73" s="217">
        <v>20</v>
      </c>
      <c r="K73" s="98">
        <f t="shared" si="106"/>
        <v>5756779.6600000001</v>
      </c>
      <c r="L73" s="98">
        <f>L72</f>
        <v>776945920.88999999</v>
      </c>
      <c r="M73" s="98"/>
      <c r="N73" s="116">
        <f>$I73*имущество!$F$3/имущество!$F$11</f>
        <v>320034.77</v>
      </c>
      <c r="O73" s="95">
        <f>$I73*имущество!$F$4/имущество!$F$11</f>
        <v>309939.8</v>
      </c>
      <c r="P73" s="95">
        <f>$I73*имущество!$F$5/имущество!$F$11</f>
        <v>299329.40000000002</v>
      </c>
      <c r="Q73" s="95">
        <f>$I73*имущество!$F$6/имущество!$F$11</f>
        <v>2899.07</v>
      </c>
      <c r="R73" s="95">
        <f>$I73*имущество!$F$7/имущество!$F$11</f>
        <v>2899.07</v>
      </c>
      <c r="S73" s="95">
        <f>$I73*имущество!$F$8/имущество!$F$11</f>
        <v>2899.07</v>
      </c>
      <c r="T73" s="95">
        <f>$I73*имущество!$F$9/имущество!$F$11</f>
        <v>17590.88</v>
      </c>
      <c r="U73" s="98">
        <f t="shared" si="100"/>
        <v>3871.22</v>
      </c>
    </row>
    <row r="74" spans="1:21" x14ac:dyDescent="0.25">
      <c r="A74" s="149">
        <v>45383</v>
      </c>
      <c r="B74" s="116">
        <f t="shared" si="101"/>
        <v>2418661.34</v>
      </c>
      <c r="C74" s="95">
        <f t="shared" si="98"/>
        <v>483732.27</v>
      </c>
      <c r="D74" s="98">
        <f t="shared" si="99"/>
        <v>2902393.61</v>
      </c>
      <c r="E74" s="116">
        <f t="shared" si="102"/>
        <v>2378655.04</v>
      </c>
      <c r="F74" s="95">
        <f t="shared" si="103"/>
        <v>475731.01</v>
      </c>
      <c r="G74" s="98">
        <f t="shared" si="104"/>
        <v>2854386.05</v>
      </c>
      <c r="H74" s="111">
        <f t="shared" si="107"/>
        <v>4797316.38</v>
      </c>
      <c r="I74" s="95">
        <f t="shared" si="105"/>
        <v>959463.28</v>
      </c>
      <c r="J74" s="217">
        <v>20</v>
      </c>
      <c r="K74" s="98">
        <f t="shared" si="106"/>
        <v>5756779.6600000001</v>
      </c>
      <c r="L74" s="98">
        <f>L73-SUM(K71:K73)</f>
        <v>759675581.90999997</v>
      </c>
      <c r="M74" s="98"/>
      <c r="N74" s="116">
        <f>$I74*имущество!$F$3/имущество!$F$11</f>
        <v>320034.77</v>
      </c>
      <c r="O74" s="95">
        <f>$I74*имущество!$F$4/имущество!$F$11</f>
        <v>309939.8</v>
      </c>
      <c r="P74" s="95">
        <f>$I74*имущество!$F$5/имущество!$F$11</f>
        <v>299329.40000000002</v>
      </c>
      <c r="Q74" s="95">
        <f>$I74*имущество!$F$6/имущество!$F$11</f>
        <v>2899.07</v>
      </c>
      <c r="R74" s="95">
        <f>$I74*имущество!$F$7/имущество!$F$11</f>
        <v>2899.07</v>
      </c>
      <c r="S74" s="95">
        <f>$I74*имущество!$F$8/имущество!$F$11</f>
        <v>2899.07</v>
      </c>
      <c r="T74" s="95">
        <f>$I74*имущество!$F$9/имущество!$F$11</f>
        <v>17590.88</v>
      </c>
      <c r="U74" s="98">
        <f t="shared" si="100"/>
        <v>3871.22</v>
      </c>
    </row>
    <row r="75" spans="1:21" x14ac:dyDescent="0.25">
      <c r="A75" s="149">
        <v>45413</v>
      </c>
      <c r="B75" s="116">
        <f t="shared" si="101"/>
        <v>2418661.34</v>
      </c>
      <c r="C75" s="95">
        <f t="shared" si="98"/>
        <v>483732.27</v>
      </c>
      <c r="D75" s="98">
        <f t="shared" si="99"/>
        <v>2902393.61</v>
      </c>
      <c r="E75" s="116">
        <f t="shared" si="102"/>
        <v>2378655.04</v>
      </c>
      <c r="F75" s="95">
        <f t="shared" si="103"/>
        <v>475731.01</v>
      </c>
      <c r="G75" s="98">
        <f t="shared" si="104"/>
        <v>2854386.05</v>
      </c>
      <c r="H75" s="111">
        <f t="shared" si="107"/>
        <v>4797316.38</v>
      </c>
      <c r="I75" s="95">
        <f t="shared" si="105"/>
        <v>959463.28</v>
      </c>
      <c r="J75" s="217">
        <v>20</v>
      </c>
      <c r="K75" s="98">
        <f t="shared" si="106"/>
        <v>5756779.6600000001</v>
      </c>
      <c r="L75" s="98">
        <f>L74</f>
        <v>759675581.90999997</v>
      </c>
      <c r="M75" s="98"/>
      <c r="N75" s="116">
        <f>$I75*имущество!$F$3/имущество!$F$11</f>
        <v>320034.77</v>
      </c>
      <c r="O75" s="95">
        <f>$I75*имущество!$F$4/имущество!$F$11</f>
        <v>309939.8</v>
      </c>
      <c r="P75" s="95">
        <f>$I75*имущество!$F$5/имущество!$F$11</f>
        <v>299329.40000000002</v>
      </c>
      <c r="Q75" s="95">
        <f>$I75*имущество!$F$6/имущество!$F$11</f>
        <v>2899.07</v>
      </c>
      <c r="R75" s="95">
        <f>$I75*имущество!$F$7/имущество!$F$11</f>
        <v>2899.07</v>
      </c>
      <c r="S75" s="95">
        <f>$I75*имущество!$F$8/имущество!$F$11</f>
        <v>2899.07</v>
      </c>
      <c r="T75" s="95">
        <f>$I75*имущество!$F$9/имущество!$F$11</f>
        <v>17590.88</v>
      </c>
      <c r="U75" s="98">
        <f t="shared" si="100"/>
        <v>3871.22</v>
      </c>
    </row>
    <row r="76" spans="1:21" x14ac:dyDescent="0.25">
      <c r="A76" s="149">
        <v>45444</v>
      </c>
      <c r="B76" s="116">
        <f t="shared" si="101"/>
        <v>2418661.34</v>
      </c>
      <c r="C76" s="95">
        <f t="shared" si="98"/>
        <v>483732.27</v>
      </c>
      <c r="D76" s="98">
        <f t="shared" si="99"/>
        <v>2902393.61</v>
      </c>
      <c r="E76" s="116">
        <f t="shared" si="102"/>
        <v>2378655.04</v>
      </c>
      <c r="F76" s="95">
        <f t="shared" si="103"/>
        <v>475731.01</v>
      </c>
      <c r="G76" s="98">
        <f t="shared" si="104"/>
        <v>2854386.05</v>
      </c>
      <c r="H76" s="111">
        <f t="shared" si="107"/>
        <v>4797316.38</v>
      </c>
      <c r="I76" s="95">
        <f t="shared" si="105"/>
        <v>959463.28</v>
      </c>
      <c r="J76" s="217">
        <v>20</v>
      </c>
      <c r="K76" s="98">
        <f t="shared" si="106"/>
        <v>5756779.6600000001</v>
      </c>
      <c r="L76" s="98">
        <f>L75</f>
        <v>759675581.90999997</v>
      </c>
      <c r="M76" s="98"/>
      <c r="N76" s="116">
        <f>$I76*имущество!$F$3/имущество!$F$11</f>
        <v>320034.77</v>
      </c>
      <c r="O76" s="95">
        <f>$I76*имущество!$F$4/имущество!$F$11</f>
        <v>309939.8</v>
      </c>
      <c r="P76" s="95">
        <f>$I76*имущество!$F$5/имущество!$F$11</f>
        <v>299329.40000000002</v>
      </c>
      <c r="Q76" s="95">
        <f>$I76*имущество!$F$6/имущество!$F$11</f>
        <v>2899.07</v>
      </c>
      <c r="R76" s="95">
        <f>$I76*имущество!$F$7/имущество!$F$11</f>
        <v>2899.07</v>
      </c>
      <c r="S76" s="95">
        <f>$I76*имущество!$F$8/имущество!$F$11</f>
        <v>2899.07</v>
      </c>
      <c r="T76" s="95">
        <f>$I76*имущество!$F$9/имущество!$F$11</f>
        <v>17590.88</v>
      </c>
      <c r="U76" s="98">
        <f t="shared" si="100"/>
        <v>3871.22</v>
      </c>
    </row>
    <row r="77" spans="1:21" x14ac:dyDescent="0.25">
      <c r="A77" s="149">
        <v>45474</v>
      </c>
      <c r="B77" s="116">
        <f t="shared" si="101"/>
        <v>2418661.34</v>
      </c>
      <c r="C77" s="95">
        <f t="shared" si="98"/>
        <v>483732.27</v>
      </c>
      <c r="D77" s="98">
        <f t="shared" si="99"/>
        <v>2902393.61</v>
      </c>
      <c r="E77" s="116">
        <f t="shared" si="102"/>
        <v>2378655.04</v>
      </c>
      <c r="F77" s="95">
        <f t="shared" si="103"/>
        <v>475731.01</v>
      </c>
      <c r="G77" s="98">
        <f t="shared" si="104"/>
        <v>2854386.05</v>
      </c>
      <c r="H77" s="111">
        <f t="shared" si="107"/>
        <v>4797316.38</v>
      </c>
      <c r="I77" s="95">
        <f t="shared" si="105"/>
        <v>959463.28</v>
      </c>
      <c r="J77" s="217">
        <v>20</v>
      </c>
      <c r="K77" s="98">
        <f t="shared" si="106"/>
        <v>5756779.6600000001</v>
      </c>
      <c r="L77" s="98">
        <f>L76-SUM(K74:K76)</f>
        <v>742405242.92999995</v>
      </c>
      <c r="M77" s="98"/>
      <c r="N77" s="116">
        <f>$I77*имущество!$F$3/имущество!$F$11</f>
        <v>320034.77</v>
      </c>
      <c r="O77" s="95">
        <f>$I77*имущество!$F$4/имущество!$F$11</f>
        <v>309939.8</v>
      </c>
      <c r="P77" s="95">
        <f>$I77*имущество!$F$5/имущество!$F$11</f>
        <v>299329.40000000002</v>
      </c>
      <c r="Q77" s="95">
        <f>$I77*имущество!$F$6/имущество!$F$11</f>
        <v>2899.07</v>
      </c>
      <c r="R77" s="95">
        <f>$I77*имущество!$F$7/имущество!$F$11</f>
        <v>2899.07</v>
      </c>
      <c r="S77" s="95">
        <f>$I77*имущество!$F$8/имущество!$F$11</f>
        <v>2899.07</v>
      </c>
      <c r="T77" s="95">
        <f>$I77*имущество!$F$9/имущество!$F$11</f>
        <v>17590.88</v>
      </c>
      <c r="U77" s="98">
        <f t="shared" si="100"/>
        <v>3871.22</v>
      </c>
    </row>
    <row r="78" spans="1:21" x14ac:dyDescent="0.25">
      <c r="A78" s="149">
        <v>45505</v>
      </c>
      <c r="B78" s="116">
        <f t="shared" si="101"/>
        <v>2418661.34</v>
      </c>
      <c r="C78" s="95">
        <f t="shared" si="98"/>
        <v>483732.27</v>
      </c>
      <c r="D78" s="98">
        <f t="shared" si="99"/>
        <v>2902393.61</v>
      </c>
      <c r="E78" s="116">
        <f t="shared" si="102"/>
        <v>2378655.04</v>
      </c>
      <c r="F78" s="95">
        <f t="shared" si="103"/>
        <v>475731.01</v>
      </c>
      <c r="G78" s="98">
        <f t="shared" si="104"/>
        <v>2854386.05</v>
      </c>
      <c r="H78" s="111">
        <f t="shared" si="107"/>
        <v>4797316.38</v>
      </c>
      <c r="I78" s="95">
        <f t="shared" si="105"/>
        <v>959463.28</v>
      </c>
      <c r="J78" s="217">
        <v>20</v>
      </c>
      <c r="K78" s="98">
        <f t="shared" si="106"/>
        <v>5756779.6600000001</v>
      </c>
      <c r="L78" s="98">
        <f>L77</f>
        <v>742405242.92999995</v>
      </c>
      <c r="M78" s="98"/>
      <c r="N78" s="116">
        <f>$I78*имущество!$F$3/имущество!$F$11</f>
        <v>320034.77</v>
      </c>
      <c r="O78" s="95">
        <f>$I78*имущество!$F$4/имущество!$F$11</f>
        <v>309939.8</v>
      </c>
      <c r="P78" s="95">
        <f>$I78*имущество!$F$5/имущество!$F$11</f>
        <v>299329.40000000002</v>
      </c>
      <c r="Q78" s="95">
        <f>$I78*имущество!$F$6/имущество!$F$11</f>
        <v>2899.07</v>
      </c>
      <c r="R78" s="95">
        <f>$I78*имущество!$F$7/имущество!$F$11</f>
        <v>2899.07</v>
      </c>
      <c r="S78" s="95">
        <f>$I78*имущество!$F$8/имущество!$F$11</f>
        <v>2899.07</v>
      </c>
      <c r="T78" s="95">
        <f>$I78*имущество!$F$9/имущество!$F$11</f>
        <v>17590.88</v>
      </c>
      <c r="U78" s="98">
        <f t="shared" si="100"/>
        <v>3871.22</v>
      </c>
    </row>
    <row r="79" spans="1:21" x14ac:dyDescent="0.25">
      <c r="A79" s="149">
        <v>45536</v>
      </c>
      <c r="B79" s="116">
        <f t="shared" si="101"/>
        <v>2418661.34</v>
      </c>
      <c r="C79" s="95">
        <f t="shared" si="98"/>
        <v>483732.27</v>
      </c>
      <c r="D79" s="98">
        <f t="shared" si="99"/>
        <v>2902393.61</v>
      </c>
      <c r="E79" s="116">
        <f t="shared" si="102"/>
        <v>2378655.04</v>
      </c>
      <c r="F79" s="95">
        <f t="shared" si="103"/>
        <v>475731.01</v>
      </c>
      <c r="G79" s="98">
        <f t="shared" si="104"/>
        <v>2854386.05</v>
      </c>
      <c r="H79" s="111">
        <f t="shared" si="107"/>
        <v>4797316.38</v>
      </c>
      <c r="I79" s="95">
        <f t="shared" si="105"/>
        <v>959463.28</v>
      </c>
      <c r="J79" s="217">
        <v>20</v>
      </c>
      <c r="K79" s="98">
        <f t="shared" si="106"/>
        <v>5756779.6600000001</v>
      </c>
      <c r="L79" s="98">
        <f>L78</f>
        <v>742405242.92999995</v>
      </c>
      <c r="M79" s="98"/>
      <c r="N79" s="116">
        <f>$I79*имущество!$F$3/имущество!$F$11</f>
        <v>320034.77</v>
      </c>
      <c r="O79" s="95">
        <f>$I79*имущество!$F$4/имущество!$F$11</f>
        <v>309939.8</v>
      </c>
      <c r="P79" s="95">
        <f>$I79*имущество!$F$5/имущество!$F$11</f>
        <v>299329.40000000002</v>
      </c>
      <c r="Q79" s="95">
        <f>$I79*имущество!$F$6/имущество!$F$11</f>
        <v>2899.07</v>
      </c>
      <c r="R79" s="95">
        <f>$I79*имущество!$F$7/имущество!$F$11</f>
        <v>2899.07</v>
      </c>
      <c r="S79" s="95">
        <f>$I79*имущество!$F$8/имущество!$F$11</f>
        <v>2899.07</v>
      </c>
      <c r="T79" s="95">
        <f>$I79*имущество!$F$9/имущество!$F$11</f>
        <v>17590.88</v>
      </c>
      <c r="U79" s="98">
        <f t="shared" si="100"/>
        <v>3871.22</v>
      </c>
    </row>
    <row r="80" spans="1:21" x14ac:dyDescent="0.25">
      <c r="A80" s="149">
        <v>45566</v>
      </c>
      <c r="B80" s="116">
        <f t="shared" si="101"/>
        <v>2418661.34</v>
      </c>
      <c r="C80" s="95">
        <f t="shared" si="98"/>
        <v>483732.27</v>
      </c>
      <c r="D80" s="98">
        <f t="shared" si="99"/>
        <v>2902393.61</v>
      </c>
      <c r="E80" s="116">
        <f t="shared" si="102"/>
        <v>2378655.04</v>
      </c>
      <c r="F80" s="95">
        <f t="shared" si="103"/>
        <v>475731.01</v>
      </c>
      <c r="G80" s="98">
        <f t="shared" si="104"/>
        <v>2854386.05</v>
      </c>
      <c r="H80" s="111">
        <f t="shared" si="107"/>
        <v>4797316.38</v>
      </c>
      <c r="I80" s="95">
        <f t="shared" si="105"/>
        <v>959463.28</v>
      </c>
      <c r="J80" s="217">
        <v>20</v>
      </c>
      <c r="K80" s="98">
        <f t="shared" si="106"/>
        <v>5756779.6600000001</v>
      </c>
      <c r="L80" s="98">
        <f>L79-SUM(K77:K79)</f>
        <v>725134903.95000005</v>
      </c>
      <c r="M80" s="98"/>
      <c r="N80" s="116">
        <f>$I80*имущество!$F$3/имущество!$F$11</f>
        <v>320034.77</v>
      </c>
      <c r="O80" s="95">
        <f>$I80*имущество!$F$4/имущество!$F$11</f>
        <v>309939.8</v>
      </c>
      <c r="P80" s="95">
        <f>$I80*имущество!$F$5/имущество!$F$11</f>
        <v>299329.40000000002</v>
      </c>
      <c r="Q80" s="95">
        <f>$I80*имущество!$F$6/имущество!$F$11</f>
        <v>2899.07</v>
      </c>
      <c r="R80" s="95">
        <f>$I80*имущество!$F$7/имущество!$F$11</f>
        <v>2899.07</v>
      </c>
      <c r="S80" s="95">
        <f>$I80*имущество!$F$8/имущество!$F$11</f>
        <v>2899.07</v>
      </c>
      <c r="T80" s="95">
        <f>$I80*имущество!$F$9/имущество!$F$11</f>
        <v>17590.88</v>
      </c>
      <c r="U80" s="98">
        <f t="shared" si="100"/>
        <v>3871.22</v>
      </c>
    </row>
    <row r="81" spans="1:21" x14ac:dyDescent="0.25">
      <c r="A81" s="149">
        <v>45597</v>
      </c>
      <c r="B81" s="116">
        <f t="shared" si="101"/>
        <v>2418661.34</v>
      </c>
      <c r="C81" s="95">
        <f t="shared" si="98"/>
        <v>483732.27</v>
      </c>
      <c r="D81" s="98">
        <f t="shared" si="99"/>
        <v>2902393.61</v>
      </c>
      <c r="E81" s="116">
        <f t="shared" si="102"/>
        <v>2378655.04</v>
      </c>
      <c r="F81" s="95">
        <f t="shared" si="103"/>
        <v>475731.01</v>
      </c>
      <c r="G81" s="98">
        <f t="shared" si="104"/>
        <v>2854386.05</v>
      </c>
      <c r="H81" s="111">
        <f t="shared" si="107"/>
        <v>4797316.38</v>
      </c>
      <c r="I81" s="95">
        <f t="shared" si="105"/>
        <v>959463.28</v>
      </c>
      <c r="J81" s="217">
        <v>20</v>
      </c>
      <c r="K81" s="98">
        <f t="shared" si="106"/>
        <v>5756779.6600000001</v>
      </c>
      <c r="L81" s="98">
        <f>L80</f>
        <v>725134903.95000005</v>
      </c>
      <c r="M81" s="98"/>
      <c r="N81" s="116">
        <f>$I81*имущество!$F$3/имущество!$F$11</f>
        <v>320034.77</v>
      </c>
      <c r="O81" s="95">
        <f>$I81*имущество!$F$4/имущество!$F$11</f>
        <v>309939.8</v>
      </c>
      <c r="P81" s="95">
        <f>$I81*имущество!$F$5/имущество!$F$11</f>
        <v>299329.40000000002</v>
      </c>
      <c r="Q81" s="95">
        <f>$I81*имущество!$F$6/имущество!$F$11</f>
        <v>2899.07</v>
      </c>
      <c r="R81" s="95">
        <f>$I81*имущество!$F$7/имущество!$F$11</f>
        <v>2899.07</v>
      </c>
      <c r="S81" s="95">
        <f>$I81*имущество!$F$8/имущество!$F$11</f>
        <v>2899.07</v>
      </c>
      <c r="T81" s="95">
        <f>$I81*имущество!$F$9/имущество!$F$11</f>
        <v>17590.88</v>
      </c>
      <c r="U81" s="98">
        <f t="shared" si="100"/>
        <v>3871.22</v>
      </c>
    </row>
    <row r="82" spans="1:21" ht="18.75" thickBot="1" x14ac:dyDescent="0.3">
      <c r="A82" s="148">
        <v>45627</v>
      </c>
      <c r="B82" s="114">
        <f t="shared" si="101"/>
        <v>2418661.34</v>
      </c>
      <c r="C82" s="102">
        <f t="shared" si="98"/>
        <v>483732.27</v>
      </c>
      <c r="D82" s="103">
        <f t="shared" si="99"/>
        <v>2902393.61</v>
      </c>
      <c r="E82" s="114">
        <f t="shared" si="102"/>
        <v>2378655.09</v>
      </c>
      <c r="F82" s="102">
        <f t="shared" si="103"/>
        <v>475731.02</v>
      </c>
      <c r="G82" s="103">
        <f t="shared" si="104"/>
        <v>2854386.11</v>
      </c>
      <c r="H82" s="109">
        <f>H83-SUM(H71:H81)</f>
        <v>4797316.43</v>
      </c>
      <c r="I82" s="102">
        <f t="shared" si="105"/>
        <v>959463.29</v>
      </c>
      <c r="J82" s="215">
        <v>20</v>
      </c>
      <c r="K82" s="103">
        <f t="shared" si="106"/>
        <v>5756779.7199999997</v>
      </c>
      <c r="L82" s="103">
        <f>L81</f>
        <v>725134903.95000005</v>
      </c>
      <c r="M82" s="103"/>
      <c r="N82" s="114">
        <f>$I82*имущество!$F$3/имущество!$F$11</f>
        <v>320034.77</v>
      </c>
      <c r="O82" s="102">
        <f>$I82*имущество!$F$4/имущество!$F$11</f>
        <v>309939.8</v>
      </c>
      <c r="P82" s="102">
        <f>$I82*имущество!$F$5/имущество!$F$11</f>
        <v>299329.40000000002</v>
      </c>
      <c r="Q82" s="102">
        <f>$I82*имущество!$F$6/имущество!$F$11</f>
        <v>2899.07</v>
      </c>
      <c r="R82" s="102">
        <f>$I82*имущество!$F$7/имущество!$F$11</f>
        <v>2899.07</v>
      </c>
      <c r="S82" s="102">
        <f>$I82*имущество!$F$8/имущество!$F$11</f>
        <v>2899.07</v>
      </c>
      <c r="T82" s="102">
        <f>$I82*имущество!$F$9/имущество!$F$11</f>
        <v>17590.88</v>
      </c>
      <c r="U82" s="103">
        <f t="shared" si="100"/>
        <v>3871.23</v>
      </c>
    </row>
    <row r="83" spans="1:21" s="117" customFormat="1" ht="18.75" thickBot="1" x14ac:dyDescent="0.3">
      <c r="A83" s="106">
        <v>2024</v>
      </c>
      <c r="B83" s="115">
        <f t="shared" ref="B83" si="108">SUM(B71:B82)</f>
        <v>29023936.079999998</v>
      </c>
      <c r="C83" s="104">
        <f t="shared" ref="C83" si="109">SUM(C71:C82)</f>
        <v>5804787.2400000002</v>
      </c>
      <c r="D83" s="105">
        <f t="shared" ref="D83" si="110">SUM(D71:D82)</f>
        <v>34828723.32</v>
      </c>
      <c r="E83" s="115">
        <f t="shared" ref="E83" si="111">SUM(E71:E82)</f>
        <v>28543860.530000001</v>
      </c>
      <c r="F83" s="104">
        <f t="shared" ref="F83" si="112">SUM(F71:F82)</f>
        <v>5708772.1299999999</v>
      </c>
      <c r="G83" s="105">
        <f t="shared" ref="G83" si="113">SUM(G71:G82)</f>
        <v>34252632.659999996</v>
      </c>
      <c r="H83" s="110">
        <f>Лист2!E21</f>
        <v>57567796.609999999</v>
      </c>
      <c r="I83" s="104">
        <f t="shared" ref="I83" si="114">SUM(I71:I82)</f>
        <v>11513559.369999999</v>
      </c>
      <c r="J83" s="216">
        <v>20</v>
      </c>
      <c r="K83" s="105">
        <f t="shared" ref="K83" si="115">SUM(K71:K82)</f>
        <v>69081355.980000004</v>
      </c>
      <c r="L83" s="105">
        <f>L82</f>
        <v>725134903.95000005</v>
      </c>
      <c r="M83" s="105">
        <f>L96</f>
        <v>653879819.10000002</v>
      </c>
      <c r="N83" s="115">
        <f t="shared" ref="N83" si="116">SUM(N71:N82)</f>
        <v>3840417.24</v>
      </c>
      <c r="O83" s="104">
        <f t="shared" ref="O83" si="117">SUM(O71:O82)</f>
        <v>3719277.6</v>
      </c>
      <c r="P83" s="104">
        <f t="shared" ref="P83" si="118">SUM(P71:P82)</f>
        <v>3591952.8</v>
      </c>
      <c r="Q83" s="104">
        <f t="shared" ref="Q83" si="119">SUM(Q71:Q82)</f>
        <v>34788.839999999997</v>
      </c>
      <c r="R83" s="104">
        <f t="shared" ref="R83" si="120">SUM(R71:R82)</f>
        <v>34788.839999999997</v>
      </c>
      <c r="S83" s="104">
        <f t="shared" ref="S83" si="121">SUM(S71:S82)</f>
        <v>34788.839999999997</v>
      </c>
      <c r="T83" s="104">
        <f t="shared" ref="T83" si="122">SUM(T71:T82)</f>
        <v>211090.56</v>
      </c>
      <c r="U83" s="105">
        <f t="shared" ref="U83" si="123">SUM(U71:U82)</f>
        <v>46454.65</v>
      </c>
    </row>
    <row r="84" spans="1:21" x14ac:dyDescent="0.25">
      <c r="A84" s="147">
        <v>45658</v>
      </c>
      <c r="B84" s="113">
        <f t="shared" ref="B84" si="124">B71</f>
        <v>2418661.34</v>
      </c>
      <c r="C84" s="96">
        <f t="shared" ref="C84:C95" si="125">B84*J84/100</f>
        <v>483732.27</v>
      </c>
      <c r="D84" s="97">
        <f t="shared" ref="D84:D95" si="126">C84+B84</f>
        <v>2902393.61</v>
      </c>
      <c r="E84" s="113">
        <f>H84-B84</f>
        <v>2579926.23</v>
      </c>
      <c r="F84" s="96">
        <f>E84*J84/100</f>
        <v>515985.25</v>
      </c>
      <c r="G84" s="97">
        <f>F84+E84</f>
        <v>3095911.48</v>
      </c>
      <c r="H84" s="108">
        <f>H96/12</f>
        <v>4998587.57</v>
      </c>
      <c r="I84" s="96">
        <f>F84+C84</f>
        <v>999717.52</v>
      </c>
      <c r="J84" s="214">
        <v>20</v>
      </c>
      <c r="K84" s="97">
        <f>I84+H84</f>
        <v>5998305.0899999999</v>
      </c>
      <c r="L84" s="97">
        <f>L83-SUM(K80:K82)</f>
        <v>707864564.90999997</v>
      </c>
      <c r="M84" s="97"/>
      <c r="N84" s="113">
        <f>$I84*имущество!$F$3/имущество!$F$11</f>
        <v>333461.82</v>
      </c>
      <c r="O84" s="96">
        <f>$I84*имущество!$F$4/имущество!$F$11</f>
        <v>322943.31</v>
      </c>
      <c r="P84" s="96">
        <f>$I84*имущество!$F$5/имущество!$F$11</f>
        <v>311887.75</v>
      </c>
      <c r="Q84" s="96">
        <f>$I84*имущество!$F$6/имущество!$F$11</f>
        <v>3020.7</v>
      </c>
      <c r="R84" s="96">
        <f>$I84*имущество!$F$7/имущество!$F$11</f>
        <v>3020.7</v>
      </c>
      <c r="S84" s="96">
        <f>$I84*имущество!$F$8/имущество!$F$11</f>
        <v>3020.7</v>
      </c>
      <c r="T84" s="96">
        <f>$I84*имущество!$F$9/имущество!$F$11</f>
        <v>18328.91</v>
      </c>
      <c r="U84" s="97">
        <f t="shared" ref="U84:U95" si="127">I84-SUM(N84:T84)</f>
        <v>4033.63</v>
      </c>
    </row>
    <row r="85" spans="1:21" x14ac:dyDescent="0.25">
      <c r="A85" s="149">
        <v>45689</v>
      </c>
      <c r="B85" s="116">
        <f t="shared" ref="B85:B95" si="128">B84</f>
        <v>2418661.34</v>
      </c>
      <c r="C85" s="95">
        <f t="shared" si="125"/>
        <v>483732.27</v>
      </c>
      <c r="D85" s="98">
        <f t="shared" si="126"/>
        <v>2902393.61</v>
      </c>
      <c r="E85" s="116">
        <f t="shared" ref="E85:E95" si="129">H85-B85</f>
        <v>2579926.23</v>
      </c>
      <c r="F85" s="95">
        <f t="shared" ref="F85:F95" si="130">E85*J85/100</f>
        <v>515985.25</v>
      </c>
      <c r="G85" s="98">
        <f t="shared" ref="G85:G95" si="131">F85+E85</f>
        <v>3095911.48</v>
      </c>
      <c r="H85" s="111">
        <f>H84</f>
        <v>4998587.57</v>
      </c>
      <c r="I85" s="95">
        <f t="shared" ref="I85:I95" si="132">F85+C85</f>
        <v>999717.52</v>
      </c>
      <c r="J85" s="217">
        <v>20</v>
      </c>
      <c r="K85" s="98">
        <f t="shared" ref="K85:K95" si="133">I85+H85</f>
        <v>5998305.0899999999</v>
      </c>
      <c r="L85" s="98">
        <f>L84</f>
        <v>707864564.90999997</v>
      </c>
      <c r="M85" s="98"/>
      <c r="N85" s="116">
        <f>$I85*имущество!$F$3/имущество!$F$11</f>
        <v>333461.82</v>
      </c>
      <c r="O85" s="95">
        <f>$I85*имущество!$F$4/имущество!$F$11</f>
        <v>322943.31</v>
      </c>
      <c r="P85" s="95">
        <f>$I85*имущество!$F$5/имущество!$F$11</f>
        <v>311887.75</v>
      </c>
      <c r="Q85" s="95">
        <f>$I85*имущество!$F$6/имущество!$F$11</f>
        <v>3020.7</v>
      </c>
      <c r="R85" s="95">
        <f>$I85*имущество!$F$7/имущество!$F$11</f>
        <v>3020.7</v>
      </c>
      <c r="S85" s="95">
        <f>$I85*имущество!$F$8/имущество!$F$11</f>
        <v>3020.7</v>
      </c>
      <c r="T85" s="95">
        <f>$I85*имущество!$F$9/имущество!$F$11</f>
        <v>18328.91</v>
      </c>
      <c r="U85" s="98">
        <f t="shared" si="127"/>
        <v>4033.63</v>
      </c>
    </row>
    <row r="86" spans="1:21" x14ac:dyDescent="0.25">
      <c r="A86" s="149">
        <v>45717</v>
      </c>
      <c r="B86" s="116">
        <f t="shared" si="128"/>
        <v>2418661.34</v>
      </c>
      <c r="C86" s="95">
        <f t="shared" si="125"/>
        <v>483732.27</v>
      </c>
      <c r="D86" s="98">
        <f t="shared" si="126"/>
        <v>2902393.61</v>
      </c>
      <c r="E86" s="116">
        <f t="shared" si="129"/>
        <v>2579926.23</v>
      </c>
      <c r="F86" s="95">
        <f t="shared" si="130"/>
        <v>515985.25</v>
      </c>
      <c r="G86" s="98">
        <f t="shared" si="131"/>
        <v>3095911.48</v>
      </c>
      <c r="H86" s="111">
        <f t="shared" ref="H86:H94" si="134">H85</f>
        <v>4998587.57</v>
      </c>
      <c r="I86" s="95">
        <f t="shared" si="132"/>
        <v>999717.52</v>
      </c>
      <c r="J86" s="217">
        <v>20</v>
      </c>
      <c r="K86" s="98">
        <f t="shared" si="133"/>
        <v>5998305.0899999999</v>
      </c>
      <c r="L86" s="98">
        <f>L85</f>
        <v>707864564.90999997</v>
      </c>
      <c r="M86" s="98"/>
      <c r="N86" s="116">
        <f>$I86*имущество!$F$3/имущество!$F$11</f>
        <v>333461.82</v>
      </c>
      <c r="O86" s="95">
        <f>$I86*имущество!$F$4/имущество!$F$11</f>
        <v>322943.31</v>
      </c>
      <c r="P86" s="95">
        <f>$I86*имущество!$F$5/имущество!$F$11</f>
        <v>311887.75</v>
      </c>
      <c r="Q86" s="95">
        <f>$I86*имущество!$F$6/имущество!$F$11</f>
        <v>3020.7</v>
      </c>
      <c r="R86" s="95">
        <f>$I86*имущество!$F$7/имущество!$F$11</f>
        <v>3020.7</v>
      </c>
      <c r="S86" s="95">
        <f>$I86*имущество!$F$8/имущество!$F$11</f>
        <v>3020.7</v>
      </c>
      <c r="T86" s="95">
        <f>$I86*имущество!$F$9/имущество!$F$11</f>
        <v>18328.91</v>
      </c>
      <c r="U86" s="98">
        <f t="shared" si="127"/>
        <v>4033.63</v>
      </c>
    </row>
    <row r="87" spans="1:21" x14ac:dyDescent="0.25">
      <c r="A87" s="149">
        <v>45748</v>
      </c>
      <c r="B87" s="116">
        <f t="shared" si="128"/>
        <v>2418661.34</v>
      </c>
      <c r="C87" s="95">
        <f t="shared" si="125"/>
        <v>483732.27</v>
      </c>
      <c r="D87" s="98">
        <f t="shared" si="126"/>
        <v>2902393.61</v>
      </c>
      <c r="E87" s="116">
        <f t="shared" si="129"/>
        <v>2579926.23</v>
      </c>
      <c r="F87" s="95">
        <f t="shared" si="130"/>
        <v>515985.25</v>
      </c>
      <c r="G87" s="98">
        <f t="shared" si="131"/>
        <v>3095911.48</v>
      </c>
      <c r="H87" s="111">
        <f t="shared" si="134"/>
        <v>4998587.57</v>
      </c>
      <c r="I87" s="95">
        <f t="shared" si="132"/>
        <v>999717.52</v>
      </c>
      <c r="J87" s="217">
        <v>20</v>
      </c>
      <c r="K87" s="98">
        <f t="shared" si="133"/>
        <v>5998305.0899999999</v>
      </c>
      <c r="L87" s="98">
        <f>L86-SUM(K84:K86)</f>
        <v>689869649.63999999</v>
      </c>
      <c r="M87" s="98"/>
      <c r="N87" s="116">
        <f>$I87*имущество!$F$3/имущество!$F$11</f>
        <v>333461.82</v>
      </c>
      <c r="O87" s="95">
        <f>$I87*имущество!$F$4/имущество!$F$11</f>
        <v>322943.31</v>
      </c>
      <c r="P87" s="95">
        <f>$I87*имущество!$F$5/имущество!$F$11</f>
        <v>311887.75</v>
      </c>
      <c r="Q87" s="95">
        <f>$I87*имущество!$F$6/имущество!$F$11</f>
        <v>3020.7</v>
      </c>
      <c r="R87" s="95">
        <f>$I87*имущество!$F$7/имущество!$F$11</f>
        <v>3020.7</v>
      </c>
      <c r="S87" s="95">
        <f>$I87*имущество!$F$8/имущество!$F$11</f>
        <v>3020.7</v>
      </c>
      <c r="T87" s="95">
        <f>$I87*имущество!$F$9/имущество!$F$11</f>
        <v>18328.91</v>
      </c>
      <c r="U87" s="98">
        <f t="shared" si="127"/>
        <v>4033.63</v>
      </c>
    </row>
    <row r="88" spans="1:21" x14ac:dyDescent="0.25">
      <c r="A88" s="149">
        <v>45778</v>
      </c>
      <c r="B88" s="116">
        <f t="shared" si="128"/>
        <v>2418661.34</v>
      </c>
      <c r="C88" s="95">
        <f t="shared" si="125"/>
        <v>483732.27</v>
      </c>
      <c r="D88" s="98">
        <f t="shared" si="126"/>
        <v>2902393.61</v>
      </c>
      <c r="E88" s="116">
        <f t="shared" si="129"/>
        <v>2579926.23</v>
      </c>
      <c r="F88" s="95">
        <f t="shared" si="130"/>
        <v>515985.25</v>
      </c>
      <c r="G88" s="98">
        <f t="shared" si="131"/>
        <v>3095911.48</v>
      </c>
      <c r="H88" s="111">
        <f t="shared" si="134"/>
        <v>4998587.57</v>
      </c>
      <c r="I88" s="95">
        <f t="shared" si="132"/>
        <v>999717.52</v>
      </c>
      <c r="J88" s="217">
        <v>20</v>
      </c>
      <c r="K88" s="98">
        <f t="shared" si="133"/>
        <v>5998305.0899999999</v>
      </c>
      <c r="L88" s="98">
        <f>L87</f>
        <v>689869649.63999999</v>
      </c>
      <c r="M88" s="98"/>
      <c r="N88" s="116">
        <f>$I88*имущество!$F$3/имущество!$F$11</f>
        <v>333461.82</v>
      </c>
      <c r="O88" s="95">
        <f>$I88*имущество!$F$4/имущество!$F$11</f>
        <v>322943.31</v>
      </c>
      <c r="P88" s="95">
        <f>$I88*имущество!$F$5/имущество!$F$11</f>
        <v>311887.75</v>
      </c>
      <c r="Q88" s="95">
        <f>$I88*имущество!$F$6/имущество!$F$11</f>
        <v>3020.7</v>
      </c>
      <c r="R88" s="95">
        <f>$I88*имущество!$F$7/имущество!$F$11</f>
        <v>3020.7</v>
      </c>
      <c r="S88" s="95">
        <f>$I88*имущество!$F$8/имущество!$F$11</f>
        <v>3020.7</v>
      </c>
      <c r="T88" s="95">
        <f>$I88*имущество!$F$9/имущество!$F$11</f>
        <v>18328.91</v>
      </c>
      <c r="U88" s="98">
        <f t="shared" si="127"/>
        <v>4033.63</v>
      </c>
    </row>
    <row r="89" spans="1:21" x14ac:dyDescent="0.25">
      <c r="A89" s="149">
        <v>45809</v>
      </c>
      <c r="B89" s="116">
        <f t="shared" si="128"/>
        <v>2418661.34</v>
      </c>
      <c r="C89" s="95">
        <f t="shared" si="125"/>
        <v>483732.27</v>
      </c>
      <c r="D89" s="98">
        <f t="shared" si="126"/>
        <v>2902393.61</v>
      </c>
      <c r="E89" s="116">
        <f t="shared" si="129"/>
        <v>2579926.23</v>
      </c>
      <c r="F89" s="95">
        <f t="shared" si="130"/>
        <v>515985.25</v>
      </c>
      <c r="G89" s="98">
        <f t="shared" si="131"/>
        <v>3095911.48</v>
      </c>
      <c r="H89" s="111">
        <f t="shared" si="134"/>
        <v>4998587.57</v>
      </c>
      <c r="I89" s="95">
        <f t="shared" si="132"/>
        <v>999717.52</v>
      </c>
      <c r="J89" s="217">
        <v>20</v>
      </c>
      <c r="K89" s="98">
        <f t="shared" si="133"/>
        <v>5998305.0899999999</v>
      </c>
      <c r="L89" s="98">
        <f>L88</f>
        <v>689869649.63999999</v>
      </c>
      <c r="M89" s="98"/>
      <c r="N89" s="116">
        <f>$I89*имущество!$F$3/имущество!$F$11</f>
        <v>333461.82</v>
      </c>
      <c r="O89" s="95">
        <f>$I89*имущество!$F$4/имущество!$F$11</f>
        <v>322943.31</v>
      </c>
      <c r="P89" s="95">
        <f>$I89*имущество!$F$5/имущество!$F$11</f>
        <v>311887.75</v>
      </c>
      <c r="Q89" s="95">
        <f>$I89*имущество!$F$6/имущество!$F$11</f>
        <v>3020.7</v>
      </c>
      <c r="R89" s="95">
        <f>$I89*имущество!$F$7/имущество!$F$11</f>
        <v>3020.7</v>
      </c>
      <c r="S89" s="95">
        <f>$I89*имущество!$F$8/имущество!$F$11</f>
        <v>3020.7</v>
      </c>
      <c r="T89" s="95">
        <f>$I89*имущество!$F$9/имущество!$F$11</f>
        <v>18328.91</v>
      </c>
      <c r="U89" s="98">
        <f t="shared" si="127"/>
        <v>4033.63</v>
      </c>
    </row>
    <row r="90" spans="1:21" x14ac:dyDescent="0.25">
      <c r="A90" s="149">
        <v>45839</v>
      </c>
      <c r="B90" s="116">
        <f t="shared" si="128"/>
        <v>2418661.34</v>
      </c>
      <c r="C90" s="95">
        <f t="shared" si="125"/>
        <v>483732.27</v>
      </c>
      <c r="D90" s="98">
        <f t="shared" si="126"/>
        <v>2902393.61</v>
      </c>
      <c r="E90" s="116">
        <f t="shared" si="129"/>
        <v>2579926.23</v>
      </c>
      <c r="F90" s="95">
        <f t="shared" si="130"/>
        <v>515985.25</v>
      </c>
      <c r="G90" s="98">
        <f t="shared" si="131"/>
        <v>3095911.48</v>
      </c>
      <c r="H90" s="111">
        <f t="shared" si="134"/>
        <v>4998587.57</v>
      </c>
      <c r="I90" s="95">
        <f t="shared" si="132"/>
        <v>999717.52</v>
      </c>
      <c r="J90" s="217">
        <v>20</v>
      </c>
      <c r="K90" s="98">
        <f t="shared" si="133"/>
        <v>5998305.0899999999</v>
      </c>
      <c r="L90" s="98">
        <f>L89-SUM(K87:K89)</f>
        <v>671874734.37</v>
      </c>
      <c r="M90" s="98"/>
      <c r="N90" s="116">
        <f>$I90*имущество!$F$3/имущество!$F$11</f>
        <v>333461.82</v>
      </c>
      <c r="O90" s="95">
        <f>$I90*имущество!$F$4/имущество!$F$11</f>
        <v>322943.31</v>
      </c>
      <c r="P90" s="95">
        <f>$I90*имущество!$F$5/имущество!$F$11</f>
        <v>311887.75</v>
      </c>
      <c r="Q90" s="95">
        <f>$I90*имущество!$F$6/имущество!$F$11</f>
        <v>3020.7</v>
      </c>
      <c r="R90" s="95">
        <f>$I90*имущество!$F$7/имущество!$F$11</f>
        <v>3020.7</v>
      </c>
      <c r="S90" s="95">
        <f>$I90*имущество!$F$8/имущество!$F$11</f>
        <v>3020.7</v>
      </c>
      <c r="T90" s="95">
        <f>$I90*имущество!$F$9/имущество!$F$11</f>
        <v>18328.91</v>
      </c>
      <c r="U90" s="98">
        <f t="shared" si="127"/>
        <v>4033.63</v>
      </c>
    </row>
    <row r="91" spans="1:21" x14ac:dyDescent="0.25">
      <c r="A91" s="149">
        <v>45870</v>
      </c>
      <c r="B91" s="116">
        <f t="shared" si="128"/>
        <v>2418661.34</v>
      </c>
      <c r="C91" s="95">
        <f t="shared" si="125"/>
        <v>483732.27</v>
      </c>
      <c r="D91" s="98">
        <f t="shared" si="126"/>
        <v>2902393.61</v>
      </c>
      <c r="E91" s="116">
        <f t="shared" si="129"/>
        <v>2579926.23</v>
      </c>
      <c r="F91" s="95">
        <f t="shared" si="130"/>
        <v>515985.25</v>
      </c>
      <c r="G91" s="98">
        <f t="shared" si="131"/>
        <v>3095911.48</v>
      </c>
      <c r="H91" s="111">
        <f t="shared" si="134"/>
        <v>4998587.57</v>
      </c>
      <c r="I91" s="95">
        <f t="shared" si="132"/>
        <v>999717.52</v>
      </c>
      <c r="J91" s="217">
        <v>20</v>
      </c>
      <c r="K91" s="98">
        <f t="shared" si="133"/>
        <v>5998305.0899999999</v>
      </c>
      <c r="L91" s="98">
        <f>L90</f>
        <v>671874734.37</v>
      </c>
      <c r="M91" s="98"/>
      <c r="N91" s="116">
        <f>$I91*имущество!$F$3/имущество!$F$11</f>
        <v>333461.82</v>
      </c>
      <c r="O91" s="95">
        <f>$I91*имущество!$F$4/имущество!$F$11</f>
        <v>322943.31</v>
      </c>
      <c r="P91" s="95">
        <f>$I91*имущество!$F$5/имущество!$F$11</f>
        <v>311887.75</v>
      </c>
      <c r="Q91" s="95">
        <f>$I91*имущество!$F$6/имущество!$F$11</f>
        <v>3020.7</v>
      </c>
      <c r="R91" s="95">
        <f>$I91*имущество!$F$7/имущество!$F$11</f>
        <v>3020.7</v>
      </c>
      <c r="S91" s="95">
        <f>$I91*имущество!$F$8/имущество!$F$11</f>
        <v>3020.7</v>
      </c>
      <c r="T91" s="95">
        <f>$I91*имущество!$F$9/имущество!$F$11</f>
        <v>18328.91</v>
      </c>
      <c r="U91" s="98">
        <f t="shared" si="127"/>
        <v>4033.63</v>
      </c>
    </row>
    <row r="92" spans="1:21" x14ac:dyDescent="0.25">
      <c r="A92" s="149">
        <v>45901</v>
      </c>
      <c r="B92" s="116">
        <f t="shared" si="128"/>
        <v>2418661.34</v>
      </c>
      <c r="C92" s="95">
        <f t="shared" si="125"/>
        <v>483732.27</v>
      </c>
      <c r="D92" s="98">
        <f t="shared" si="126"/>
        <v>2902393.61</v>
      </c>
      <c r="E92" s="116">
        <f t="shared" si="129"/>
        <v>2579926.23</v>
      </c>
      <c r="F92" s="95">
        <f t="shared" si="130"/>
        <v>515985.25</v>
      </c>
      <c r="G92" s="98">
        <f t="shared" si="131"/>
        <v>3095911.48</v>
      </c>
      <c r="H92" s="111">
        <f t="shared" si="134"/>
        <v>4998587.57</v>
      </c>
      <c r="I92" s="95">
        <f t="shared" si="132"/>
        <v>999717.52</v>
      </c>
      <c r="J92" s="217">
        <v>20</v>
      </c>
      <c r="K92" s="98">
        <f t="shared" si="133"/>
        <v>5998305.0899999999</v>
      </c>
      <c r="L92" s="98">
        <f>L91</f>
        <v>671874734.37</v>
      </c>
      <c r="M92" s="98"/>
      <c r="N92" s="116">
        <f>$I92*имущество!$F$3/имущество!$F$11</f>
        <v>333461.82</v>
      </c>
      <c r="O92" s="95">
        <f>$I92*имущество!$F$4/имущество!$F$11</f>
        <v>322943.31</v>
      </c>
      <c r="P92" s="95">
        <f>$I92*имущество!$F$5/имущество!$F$11</f>
        <v>311887.75</v>
      </c>
      <c r="Q92" s="95">
        <f>$I92*имущество!$F$6/имущество!$F$11</f>
        <v>3020.7</v>
      </c>
      <c r="R92" s="95">
        <f>$I92*имущество!$F$7/имущество!$F$11</f>
        <v>3020.7</v>
      </c>
      <c r="S92" s="95">
        <f>$I92*имущество!$F$8/имущество!$F$11</f>
        <v>3020.7</v>
      </c>
      <c r="T92" s="95">
        <f>$I92*имущество!$F$9/имущество!$F$11</f>
        <v>18328.91</v>
      </c>
      <c r="U92" s="98">
        <f t="shared" si="127"/>
        <v>4033.63</v>
      </c>
    </row>
    <row r="93" spans="1:21" x14ac:dyDescent="0.25">
      <c r="A93" s="149">
        <v>45931</v>
      </c>
      <c r="B93" s="116">
        <f t="shared" si="128"/>
        <v>2418661.34</v>
      </c>
      <c r="C93" s="95">
        <f t="shared" si="125"/>
        <v>483732.27</v>
      </c>
      <c r="D93" s="98">
        <f t="shared" si="126"/>
        <v>2902393.61</v>
      </c>
      <c r="E93" s="116">
        <f t="shared" si="129"/>
        <v>2579926.23</v>
      </c>
      <c r="F93" s="95">
        <f t="shared" si="130"/>
        <v>515985.25</v>
      </c>
      <c r="G93" s="98">
        <f t="shared" si="131"/>
        <v>3095911.48</v>
      </c>
      <c r="H93" s="111">
        <f t="shared" si="134"/>
        <v>4998587.57</v>
      </c>
      <c r="I93" s="95">
        <f t="shared" si="132"/>
        <v>999717.52</v>
      </c>
      <c r="J93" s="217">
        <v>20</v>
      </c>
      <c r="K93" s="98">
        <f t="shared" si="133"/>
        <v>5998305.0899999999</v>
      </c>
      <c r="L93" s="98">
        <f>L92-SUM(K90:K92)</f>
        <v>653879819.10000002</v>
      </c>
      <c r="M93" s="98"/>
      <c r="N93" s="116">
        <f>$I93*имущество!$F$3/имущество!$F$11</f>
        <v>333461.82</v>
      </c>
      <c r="O93" s="95">
        <f>$I93*имущество!$F$4/имущество!$F$11</f>
        <v>322943.31</v>
      </c>
      <c r="P93" s="95">
        <f>$I93*имущество!$F$5/имущество!$F$11</f>
        <v>311887.75</v>
      </c>
      <c r="Q93" s="95">
        <f>$I93*имущество!$F$6/имущество!$F$11</f>
        <v>3020.7</v>
      </c>
      <c r="R93" s="95">
        <f>$I93*имущество!$F$7/имущество!$F$11</f>
        <v>3020.7</v>
      </c>
      <c r="S93" s="95">
        <f>$I93*имущество!$F$8/имущество!$F$11</f>
        <v>3020.7</v>
      </c>
      <c r="T93" s="95">
        <f>$I93*имущество!$F$9/имущество!$F$11</f>
        <v>18328.91</v>
      </c>
      <c r="U93" s="98">
        <f t="shared" si="127"/>
        <v>4033.63</v>
      </c>
    </row>
    <row r="94" spans="1:21" x14ac:dyDescent="0.25">
      <c r="A94" s="149">
        <v>45962</v>
      </c>
      <c r="B94" s="116">
        <f t="shared" si="128"/>
        <v>2418661.34</v>
      </c>
      <c r="C94" s="95">
        <f t="shared" si="125"/>
        <v>483732.27</v>
      </c>
      <c r="D94" s="98">
        <f t="shared" si="126"/>
        <v>2902393.61</v>
      </c>
      <c r="E94" s="116">
        <f t="shared" si="129"/>
        <v>2579926.23</v>
      </c>
      <c r="F94" s="95">
        <f t="shared" si="130"/>
        <v>515985.25</v>
      </c>
      <c r="G94" s="98">
        <f t="shared" si="131"/>
        <v>3095911.48</v>
      </c>
      <c r="H94" s="111">
        <f t="shared" si="134"/>
        <v>4998587.57</v>
      </c>
      <c r="I94" s="95">
        <f t="shared" si="132"/>
        <v>999717.52</v>
      </c>
      <c r="J94" s="217">
        <v>20</v>
      </c>
      <c r="K94" s="98">
        <f t="shared" si="133"/>
        <v>5998305.0899999999</v>
      </c>
      <c r="L94" s="98">
        <f>L93</f>
        <v>653879819.10000002</v>
      </c>
      <c r="M94" s="98"/>
      <c r="N94" s="116">
        <f>$I94*имущество!$F$3/имущество!$F$11</f>
        <v>333461.82</v>
      </c>
      <c r="O94" s="95">
        <f>$I94*имущество!$F$4/имущество!$F$11</f>
        <v>322943.31</v>
      </c>
      <c r="P94" s="95">
        <f>$I94*имущество!$F$5/имущество!$F$11</f>
        <v>311887.75</v>
      </c>
      <c r="Q94" s="95">
        <f>$I94*имущество!$F$6/имущество!$F$11</f>
        <v>3020.7</v>
      </c>
      <c r="R94" s="95">
        <f>$I94*имущество!$F$7/имущество!$F$11</f>
        <v>3020.7</v>
      </c>
      <c r="S94" s="95">
        <f>$I94*имущество!$F$8/имущество!$F$11</f>
        <v>3020.7</v>
      </c>
      <c r="T94" s="95">
        <f>$I94*имущество!$F$9/имущество!$F$11</f>
        <v>18328.91</v>
      </c>
      <c r="U94" s="98">
        <f t="shared" si="127"/>
        <v>4033.63</v>
      </c>
    </row>
    <row r="95" spans="1:21" ht="18.75" thickBot="1" x14ac:dyDescent="0.3">
      <c r="A95" s="148">
        <v>45992</v>
      </c>
      <c r="B95" s="114">
        <f t="shared" si="128"/>
        <v>2418661.34</v>
      </c>
      <c r="C95" s="102">
        <f t="shared" si="125"/>
        <v>483732.27</v>
      </c>
      <c r="D95" s="103">
        <f t="shared" si="126"/>
        <v>2902393.61</v>
      </c>
      <c r="E95" s="114">
        <f t="shared" si="129"/>
        <v>2579926.2400000002</v>
      </c>
      <c r="F95" s="102">
        <f t="shared" si="130"/>
        <v>515985.25</v>
      </c>
      <c r="G95" s="103">
        <f t="shared" si="131"/>
        <v>3095911.49</v>
      </c>
      <c r="H95" s="109">
        <f>H96-SUM(H84:H94)</f>
        <v>4998587.58</v>
      </c>
      <c r="I95" s="102">
        <f t="shared" si="132"/>
        <v>999717.52</v>
      </c>
      <c r="J95" s="215">
        <v>20</v>
      </c>
      <c r="K95" s="103">
        <f t="shared" si="133"/>
        <v>5998305.0999999996</v>
      </c>
      <c r="L95" s="103">
        <f>L94</f>
        <v>653879819.10000002</v>
      </c>
      <c r="M95" s="103"/>
      <c r="N95" s="114">
        <f>$I95*имущество!$F$3/имущество!$F$11</f>
        <v>333461.82</v>
      </c>
      <c r="O95" s="102">
        <f>$I95*имущество!$F$4/имущество!$F$11</f>
        <v>322943.31</v>
      </c>
      <c r="P95" s="102">
        <f>$I95*имущество!$F$5/имущество!$F$11</f>
        <v>311887.75</v>
      </c>
      <c r="Q95" s="102">
        <f>$I95*имущество!$F$6/имущество!$F$11</f>
        <v>3020.7</v>
      </c>
      <c r="R95" s="102">
        <f>$I95*имущество!$F$7/имущество!$F$11</f>
        <v>3020.7</v>
      </c>
      <c r="S95" s="102">
        <f>$I95*имущество!$F$8/имущество!$F$11</f>
        <v>3020.7</v>
      </c>
      <c r="T95" s="102">
        <f>$I95*имущество!$F$9/имущество!$F$11</f>
        <v>18328.91</v>
      </c>
      <c r="U95" s="103">
        <f t="shared" si="127"/>
        <v>4033.63</v>
      </c>
    </row>
    <row r="96" spans="1:21" s="117" customFormat="1" ht="18.75" thickBot="1" x14ac:dyDescent="0.3">
      <c r="A96" s="106">
        <v>2025</v>
      </c>
      <c r="B96" s="115">
        <f t="shared" ref="B96" si="135">SUM(B84:B95)</f>
        <v>29023936.079999998</v>
      </c>
      <c r="C96" s="104">
        <f t="shared" ref="C96" si="136">SUM(C84:C95)</f>
        <v>5804787.2400000002</v>
      </c>
      <c r="D96" s="105">
        <f t="shared" ref="D96" si="137">SUM(D84:D95)</f>
        <v>34828723.32</v>
      </c>
      <c r="E96" s="115">
        <f t="shared" ref="E96" si="138">SUM(E84:E95)</f>
        <v>30959114.77</v>
      </c>
      <c r="F96" s="104">
        <f t="shared" ref="F96" si="139">SUM(F84:F95)</f>
        <v>6191823</v>
      </c>
      <c r="G96" s="105">
        <f t="shared" ref="G96" si="140">SUM(G84:G95)</f>
        <v>37150937.770000003</v>
      </c>
      <c r="H96" s="110">
        <f>Лист2!E22</f>
        <v>59983050.850000001</v>
      </c>
      <c r="I96" s="104">
        <f t="shared" ref="I96" si="141">SUM(I84:I95)</f>
        <v>11996610.24</v>
      </c>
      <c r="J96" s="216">
        <v>20</v>
      </c>
      <c r="K96" s="105">
        <f t="shared" ref="K96" si="142">SUM(K84:K95)</f>
        <v>71979661.090000004</v>
      </c>
      <c r="L96" s="105">
        <f>L95</f>
        <v>653879819.10000002</v>
      </c>
      <c r="M96" s="105">
        <f>L109</f>
        <v>579673039.42999995</v>
      </c>
      <c r="N96" s="115">
        <f t="shared" ref="N96" si="143">SUM(N84:N95)</f>
        <v>4001541.84</v>
      </c>
      <c r="O96" s="104">
        <f t="shared" ref="O96" si="144">SUM(O84:O95)</f>
        <v>3875319.72</v>
      </c>
      <c r="P96" s="104">
        <f t="shared" ref="P96" si="145">SUM(P84:P95)</f>
        <v>3742653</v>
      </c>
      <c r="Q96" s="104">
        <f t="shared" ref="Q96" si="146">SUM(Q84:Q95)</f>
        <v>36248.400000000001</v>
      </c>
      <c r="R96" s="104">
        <f t="shared" ref="R96" si="147">SUM(R84:R95)</f>
        <v>36248.400000000001</v>
      </c>
      <c r="S96" s="104">
        <f t="shared" ref="S96" si="148">SUM(S84:S95)</f>
        <v>36248.400000000001</v>
      </c>
      <c r="T96" s="104">
        <f t="shared" ref="T96" si="149">SUM(T84:T95)</f>
        <v>219946.92</v>
      </c>
      <c r="U96" s="105">
        <f t="shared" ref="U96" si="150">SUM(U84:U95)</f>
        <v>48403.56</v>
      </c>
    </row>
    <row r="97" spans="1:21" x14ac:dyDescent="0.25">
      <c r="A97" s="147">
        <v>46023</v>
      </c>
      <c r="B97" s="113">
        <f t="shared" ref="B97" si="151">B84</f>
        <v>2418661.34</v>
      </c>
      <c r="C97" s="96">
        <f t="shared" ref="C97:C108" si="152">B97*J97/100</f>
        <v>483732.27</v>
      </c>
      <c r="D97" s="97">
        <f t="shared" ref="D97:D108" si="153">C97+B97</f>
        <v>2902393.61</v>
      </c>
      <c r="E97" s="113">
        <f>H97-B97</f>
        <v>2786140.92</v>
      </c>
      <c r="F97" s="96">
        <f>E97*J97/100</f>
        <v>557228.18000000005</v>
      </c>
      <c r="G97" s="97">
        <f>F97+E97</f>
        <v>3343369.1</v>
      </c>
      <c r="H97" s="108">
        <f>H109/12</f>
        <v>5204802.26</v>
      </c>
      <c r="I97" s="96">
        <f>F97+C97</f>
        <v>1040960.45</v>
      </c>
      <c r="J97" s="214">
        <v>20</v>
      </c>
      <c r="K97" s="97">
        <f>I97+H97</f>
        <v>6245762.71</v>
      </c>
      <c r="L97" s="97">
        <f>L96-SUM(K93:K95)</f>
        <v>635884903.82000005</v>
      </c>
      <c r="M97" s="97"/>
      <c r="N97" s="113">
        <f>$I97*имущество!$F$3/имущество!$F$11</f>
        <v>347218.64</v>
      </c>
      <c r="O97" s="96">
        <f>$I97*имущество!$F$4/имущество!$F$11</f>
        <v>336266.2</v>
      </c>
      <c r="P97" s="96">
        <f>$I97*имущество!$F$5/имущество!$F$11</f>
        <v>324754.55</v>
      </c>
      <c r="Q97" s="96">
        <f>$I97*имущество!$F$6/имущество!$F$11</f>
        <v>3145.32</v>
      </c>
      <c r="R97" s="96">
        <f>$I97*имущество!$F$7/имущество!$F$11</f>
        <v>3145.32</v>
      </c>
      <c r="S97" s="96">
        <f>$I97*имущество!$F$8/имущество!$F$11</f>
        <v>3145.32</v>
      </c>
      <c r="T97" s="96">
        <f>$I97*имущество!$F$9/имущество!$F$11</f>
        <v>19085.060000000001</v>
      </c>
      <c r="U97" s="97">
        <f t="shared" ref="U97:U108" si="154">I97-SUM(N97:T97)</f>
        <v>4200.04</v>
      </c>
    </row>
    <row r="98" spans="1:21" x14ac:dyDescent="0.25">
      <c r="A98" s="149">
        <v>46054</v>
      </c>
      <c r="B98" s="116">
        <f t="shared" ref="B98:B108" si="155">B97</f>
        <v>2418661.34</v>
      </c>
      <c r="C98" s="95">
        <f t="shared" si="152"/>
        <v>483732.27</v>
      </c>
      <c r="D98" s="98">
        <f t="shared" si="153"/>
        <v>2902393.61</v>
      </c>
      <c r="E98" s="116">
        <f t="shared" ref="E98:E108" si="156">H98-B98</f>
        <v>2786140.92</v>
      </c>
      <c r="F98" s="95">
        <f t="shared" ref="F98:F108" si="157">E98*J98/100</f>
        <v>557228.18000000005</v>
      </c>
      <c r="G98" s="98">
        <f t="shared" ref="G98:G108" si="158">F98+E98</f>
        <v>3343369.1</v>
      </c>
      <c r="H98" s="111">
        <f>H97</f>
        <v>5204802.26</v>
      </c>
      <c r="I98" s="95">
        <f t="shared" ref="I98:I108" si="159">F98+C98</f>
        <v>1040960.45</v>
      </c>
      <c r="J98" s="217">
        <v>20</v>
      </c>
      <c r="K98" s="98">
        <f t="shared" ref="K98:K108" si="160">I98+H98</f>
        <v>6245762.71</v>
      </c>
      <c r="L98" s="98">
        <f>L97</f>
        <v>635884903.82000005</v>
      </c>
      <c r="M98" s="98"/>
      <c r="N98" s="116">
        <f>$I98*имущество!$F$3/имущество!$F$11</f>
        <v>347218.64</v>
      </c>
      <c r="O98" s="95">
        <f>$I98*имущество!$F$4/имущество!$F$11</f>
        <v>336266.2</v>
      </c>
      <c r="P98" s="95">
        <f>$I98*имущество!$F$5/имущество!$F$11</f>
        <v>324754.55</v>
      </c>
      <c r="Q98" s="95">
        <f>$I98*имущество!$F$6/имущество!$F$11</f>
        <v>3145.32</v>
      </c>
      <c r="R98" s="95">
        <f>$I98*имущество!$F$7/имущество!$F$11</f>
        <v>3145.32</v>
      </c>
      <c r="S98" s="95">
        <f>$I98*имущество!$F$8/имущество!$F$11</f>
        <v>3145.32</v>
      </c>
      <c r="T98" s="95">
        <f>$I98*имущество!$F$9/имущество!$F$11</f>
        <v>19085.060000000001</v>
      </c>
      <c r="U98" s="98">
        <f t="shared" si="154"/>
        <v>4200.04</v>
      </c>
    </row>
    <row r="99" spans="1:21" x14ac:dyDescent="0.25">
      <c r="A99" s="149">
        <v>46082</v>
      </c>
      <c r="B99" s="116">
        <f t="shared" si="155"/>
        <v>2418661.34</v>
      </c>
      <c r="C99" s="95">
        <f t="shared" si="152"/>
        <v>483732.27</v>
      </c>
      <c r="D99" s="98">
        <f t="shared" si="153"/>
        <v>2902393.61</v>
      </c>
      <c r="E99" s="116">
        <f t="shared" si="156"/>
        <v>2786140.92</v>
      </c>
      <c r="F99" s="95">
        <f t="shared" si="157"/>
        <v>557228.18000000005</v>
      </c>
      <c r="G99" s="98">
        <f t="shared" si="158"/>
        <v>3343369.1</v>
      </c>
      <c r="H99" s="111">
        <f t="shared" ref="H99:H107" si="161">H98</f>
        <v>5204802.26</v>
      </c>
      <c r="I99" s="95">
        <f t="shared" si="159"/>
        <v>1040960.45</v>
      </c>
      <c r="J99" s="217">
        <v>20</v>
      </c>
      <c r="K99" s="98">
        <f t="shared" si="160"/>
        <v>6245762.71</v>
      </c>
      <c r="L99" s="98">
        <f>L98</f>
        <v>635884903.82000005</v>
      </c>
      <c r="M99" s="98"/>
      <c r="N99" s="116">
        <f>$I99*имущество!$F$3/имущество!$F$11</f>
        <v>347218.64</v>
      </c>
      <c r="O99" s="95">
        <f>$I99*имущество!$F$4/имущество!$F$11</f>
        <v>336266.2</v>
      </c>
      <c r="P99" s="95">
        <f>$I99*имущество!$F$5/имущество!$F$11</f>
        <v>324754.55</v>
      </c>
      <c r="Q99" s="95">
        <f>$I99*имущество!$F$6/имущество!$F$11</f>
        <v>3145.32</v>
      </c>
      <c r="R99" s="95">
        <f>$I99*имущество!$F$7/имущество!$F$11</f>
        <v>3145.32</v>
      </c>
      <c r="S99" s="95">
        <f>$I99*имущество!$F$8/имущество!$F$11</f>
        <v>3145.32</v>
      </c>
      <c r="T99" s="95">
        <f>$I99*имущество!$F$9/имущество!$F$11</f>
        <v>19085.060000000001</v>
      </c>
      <c r="U99" s="98">
        <f t="shared" si="154"/>
        <v>4200.04</v>
      </c>
    </row>
    <row r="100" spans="1:21" x14ac:dyDescent="0.25">
      <c r="A100" s="149">
        <v>46113</v>
      </c>
      <c r="B100" s="116">
        <f t="shared" si="155"/>
        <v>2418661.34</v>
      </c>
      <c r="C100" s="95">
        <f t="shared" si="152"/>
        <v>483732.27</v>
      </c>
      <c r="D100" s="98">
        <f t="shared" si="153"/>
        <v>2902393.61</v>
      </c>
      <c r="E100" s="116">
        <f t="shared" si="156"/>
        <v>2786140.92</v>
      </c>
      <c r="F100" s="95">
        <f t="shared" si="157"/>
        <v>557228.18000000005</v>
      </c>
      <c r="G100" s="98">
        <f t="shared" si="158"/>
        <v>3343369.1</v>
      </c>
      <c r="H100" s="111">
        <f t="shared" si="161"/>
        <v>5204802.26</v>
      </c>
      <c r="I100" s="95">
        <f t="shared" si="159"/>
        <v>1040960.45</v>
      </c>
      <c r="J100" s="217">
        <v>20</v>
      </c>
      <c r="K100" s="98">
        <f t="shared" si="160"/>
        <v>6245762.71</v>
      </c>
      <c r="L100" s="98">
        <f>L99-SUM(K97:K99)</f>
        <v>617147615.69000006</v>
      </c>
      <c r="M100" s="98"/>
      <c r="N100" s="116">
        <f>$I100*имущество!$F$3/имущество!$F$11</f>
        <v>347218.64</v>
      </c>
      <c r="O100" s="95">
        <f>$I100*имущество!$F$4/имущество!$F$11</f>
        <v>336266.2</v>
      </c>
      <c r="P100" s="95">
        <f>$I100*имущество!$F$5/имущество!$F$11</f>
        <v>324754.55</v>
      </c>
      <c r="Q100" s="95">
        <f>$I100*имущество!$F$6/имущество!$F$11</f>
        <v>3145.32</v>
      </c>
      <c r="R100" s="95">
        <f>$I100*имущество!$F$7/имущество!$F$11</f>
        <v>3145.32</v>
      </c>
      <c r="S100" s="95">
        <f>$I100*имущество!$F$8/имущество!$F$11</f>
        <v>3145.32</v>
      </c>
      <c r="T100" s="95">
        <f>$I100*имущество!$F$9/имущество!$F$11</f>
        <v>19085.060000000001</v>
      </c>
      <c r="U100" s="98">
        <f t="shared" si="154"/>
        <v>4200.04</v>
      </c>
    </row>
    <row r="101" spans="1:21" x14ac:dyDescent="0.25">
      <c r="A101" s="149">
        <v>46143</v>
      </c>
      <c r="B101" s="116">
        <f t="shared" si="155"/>
        <v>2418661.34</v>
      </c>
      <c r="C101" s="95">
        <f t="shared" si="152"/>
        <v>483732.27</v>
      </c>
      <c r="D101" s="98">
        <f t="shared" si="153"/>
        <v>2902393.61</v>
      </c>
      <c r="E101" s="116">
        <f t="shared" si="156"/>
        <v>2786140.92</v>
      </c>
      <c r="F101" s="95">
        <f t="shared" si="157"/>
        <v>557228.18000000005</v>
      </c>
      <c r="G101" s="98">
        <f t="shared" si="158"/>
        <v>3343369.1</v>
      </c>
      <c r="H101" s="111">
        <f t="shared" si="161"/>
        <v>5204802.26</v>
      </c>
      <c r="I101" s="95">
        <f t="shared" si="159"/>
        <v>1040960.45</v>
      </c>
      <c r="J101" s="217">
        <v>20</v>
      </c>
      <c r="K101" s="98">
        <f t="shared" si="160"/>
        <v>6245762.71</v>
      </c>
      <c r="L101" s="98">
        <f>L100</f>
        <v>617147615.69000006</v>
      </c>
      <c r="M101" s="98"/>
      <c r="N101" s="116">
        <f>$I101*имущество!$F$3/имущество!$F$11</f>
        <v>347218.64</v>
      </c>
      <c r="O101" s="95">
        <f>$I101*имущество!$F$4/имущество!$F$11</f>
        <v>336266.2</v>
      </c>
      <c r="P101" s="95">
        <f>$I101*имущество!$F$5/имущество!$F$11</f>
        <v>324754.55</v>
      </c>
      <c r="Q101" s="95">
        <f>$I101*имущество!$F$6/имущество!$F$11</f>
        <v>3145.32</v>
      </c>
      <c r="R101" s="95">
        <f>$I101*имущество!$F$7/имущество!$F$11</f>
        <v>3145.32</v>
      </c>
      <c r="S101" s="95">
        <f>$I101*имущество!$F$8/имущество!$F$11</f>
        <v>3145.32</v>
      </c>
      <c r="T101" s="95">
        <f>$I101*имущество!$F$9/имущество!$F$11</f>
        <v>19085.060000000001</v>
      </c>
      <c r="U101" s="98">
        <f t="shared" si="154"/>
        <v>4200.04</v>
      </c>
    </row>
    <row r="102" spans="1:21" x14ac:dyDescent="0.25">
      <c r="A102" s="149">
        <v>46174</v>
      </c>
      <c r="B102" s="116">
        <f t="shared" si="155"/>
        <v>2418661.34</v>
      </c>
      <c r="C102" s="95">
        <f t="shared" si="152"/>
        <v>483732.27</v>
      </c>
      <c r="D102" s="98">
        <f t="shared" si="153"/>
        <v>2902393.61</v>
      </c>
      <c r="E102" s="116">
        <f t="shared" si="156"/>
        <v>2786140.92</v>
      </c>
      <c r="F102" s="95">
        <f t="shared" si="157"/>
        <v>557228.18000000005</v>
      </c>
      <c r="G102" s="98">
        <f t="shared" si="158"/>
        <v>3343369.1</v>
      </c>
      <c r="H102" s="111">
        <f t="shared" si="161"/>
        <v>5204802.26</v>
      </c>
      <c r="I102" s="95">
        <f t="shared" si="159"/>
        <v>1040960.45</v>
      </c>
      <c r="J102" s="217">
        <v>20</v>
      </c>
      <c r="K102" s="98">
        <f t="shared" si="160"/>
        <v>6245762.71</v>
      </c>
      <c r="L102" s="98">
        <f>L101</f>
        <v>617147615.69000006</v>
      </c>
      <c r="M102" s="98"/>
      <c r="N102" s="116">
        <f>$I102*имущество!$F$3/имущество!$F$11</f>
        <v>347218.64</v>
      </c>
      <c r="O102" s="95">
        <f>$I102*имущество!$F$4/имущество!$F$11</f>
        <v>336266.2</v>
      </c>
      <c r="P102" s="95">
        <f>$I102*имущество!$F$5/имущество!$F$11</f>
        <v>324754.55</v>
      </c>
      <c r="Q102" s="95">
        <f>$I102*имущество!$F$6/имущество!$F$11</f>
        <v>3145.32</v>
      </c>
      <c r="R102" s="95">
        <f>$I102*имущество!$F$7/имущество!$F$11</f>
        <v>3145.32</v>
      </c>
      <c r="S102" s="95">
        <f>$I102*имущество!$F$8/имущество!$F$11</f>
        <v>3145.32</v>
      </c>
      <c r="T102" s="95">
        <f>$I102*имущество!$F$9/имущество!$F$11</f>
        <v>19085.060000000001</v>
      </c>
      <c r="U102" s="98">
        <f t="shared" si="154"/>
        <v>4200.04</v>
      </c>
    </row>
    <row r="103" spans="1:21" x14ac:dyDescent="0.25">
      <c r="A103" s="149">
        <v>46204</v>
      </c>
      <c r="B103" s="116">
        <f t="shared" si="155"/>
        <v>2418661.34</v>
      </c>
      <c r="C103" s="95">
        <f t="shared" si="152"/>
        <v>483732.27</v>
      </c>
      <c r="D103" s="98">
        <f t="shared" si="153"/>
        <v>2902393.61</v>
      </c>
      <c r="E103" s="116">
        <f t="shared" si="156"/>
        <v>2786140.92</v>
      </c>
      <c r="F103" s="95">
        <f t="shared" si="157"/>
        <v>557228.18000000005</v>
      </c>
      <c r="G103" s="98">
        <f t="shared" si="158"/>
        <v>3343369.1</v>
      </c>
      <c r="H103" s="111">
        <f t="shared" si="161"/>
        <v>5204802.26</v>
      </c>
      <c r="I103" s="95">
        <f t="shared" si="159"/>
        <v>1040960.45</v>
      </c>
      <c r="J103" s="217">
        <v>20</v>
      </c>
      <c r="K103" s="98">
        <f t="shared" si="160"/>
        <v>6245762.71</v>
      </c>
      <c r="L103" s="98">
        <f>L102-SUM(K100:K102)</f>
        <v>598410327.55999994</v>
      </c>
      <c r="M103" s="98"/>
      <c r="N103" s="116">
        <f>$I103*имущество!$F$3/имущество!$F$11</f>
        <v>347218.64</v>
      </c>
      <c r="O103" s="95">
        <f>$I103*имущество!$F$4/имущество!$F$11</f>
        <v>336266.2</v>
      </c>
      <c r="P103" s="95">
        <f>$I103*имущество!$F$5/имущество!$F$11</f>
        <v>324754.55</v>
      </c>
      <c r="Q103" s="95">
        <f>$I103*имущество!$F$6/имущество!$F$11</f>
        <v>3145.32</v>
      </c>
      <c r="R103" s="95">
        <f>$I103*имущество!$F$7/имущество!$F$11</f>
        <v>3145.32</v>
      </c>
      <c r="S103" s="95">
        <f>$I103*имущество!$F$8/имущество!$F$11</f>
        <v>3145.32</v>
      </c>
      <c r="T103" s="95">
        <f>$I103*имущество!$F$9/имущество!$F$11</f>
        <v>19085.060000000001</v>
      </c>
      <c r="U103" s="98">
        <f t="shared" si="154"/>
        <v>4200.04</v>
      </c>
    </row>
    <row r="104" spans="1:21" x14ac:dyDescent="0.25">
      <c r="A104" s="149">
        <v>46235</v>
      </c>
      <c r="B104" s="116">
        <f t="shared" si="155"/>
        <v>2418661.34</v>
      </c>
      <c r="C104" s="95">
        <f t="shared" si="152"/>
        <v>483732.27</v>
      </c>
      <c r="D104" s="98">
        <f t="shared" si="153"/>
        <v>2902393.61</v>
      </c>
      <c r="E104" s="116">
        <f t="shared" si="156"/>
        <v>2786140.92</v>
      </c>
      <c r="F104" s="95">
        <f t="shared" si="157"/>
        <v>557228.18000000005</v>
      </c>
      <c r="G104" s="98">
        <f t="shared" si="158"/>
        <v>3343369.1</v>
      </c>
      <c r="H104" s="111">
        <f t="shared" si="161"/>
        <v>5204802.26</v>
      </c>
      <c r="I104" s="95">
        <f t="shared" si="159"/>
        <v>1040960.45</v>
      </c>
      <c r="J104" s="217">
        <v>20</v>
      </c>
      <c r="K104" s="98">
        <f t="shared" si="160"/>
        <v>6245762.71</v>
      </c>
      <c r="L104" s="98">
        <f>L103</f>
        <v>598410327.55999994</v>
      </c>
      <c r="M104" s="98"/>
      <c r="N104" s="116">
        <f>$I104*имущество!$F$3/имущество!$F$11</f>
        <v>347218.64</v>
      </c>
      <c r="O104" s="95">
        <f>$I104*имущество!$F$4/имущество!$F$11</f>
        <v>336266.2</v>
      </c>
      <c r="P104" s="95">
        <f>$I104*имущество!$F$5/имущество!$F$11</f>
        <v>324754.55</v>
      </c>
      <c r="Q104" s="95">
        <f>$I104*имущество!$F$6/имущество!$F$11</f>
        <v>3145.32</v>
      </c>
      <c r="R104" s="95">
        <f>$I104*имущество!$F$7/имущество!$F$11</f>
        <v>3145.32</v>
      </c>
      <c r="S104" s="95">
        <f>$I104*имущество!$F$8/имущество!$F$11</f>
        <v>3145.32</v>
      </c>
      <c r="T104" s="95">
        <f>$I104*имущество!$F$9/имущество!$F$11</f>
        <v>19085.060000000001</v>
      </c>
      <c r="U104" s="98">
        <f t="shared" si="154"/>
        <v>4200.04</v>
      </c>
    </row>
    <row r="105" spans="1:21" x14ac:dyDescent="0.25">
      <c r="A105" s="149">
        <v>46266</v>
      </c>
      <c r="B105" s="116">
        <f t="shared" si="155"/>
        <v>2418661.34</v>
      </c>
      <c r="C105" s="95">
        <f t="shared" si="152"/>
        <v>483732.27</v>
      </c>
      <c r="D105" s="98">
        <f t="shared" si="153"/>
        <v>2902393.61</v>
      </c>
      <c r="E105" s="116">
        <f t="shared" si="156"/>
        <v>2786140.92</v>
      </c>
      <c r="F105" s="95">
        <f t="shared" si="157"/>
        <v>557228.18000000005</v>
      </c>
      <c r="G105" s="98">
        <f t="shared" si="158"/>
        <v>3343369.1</v>
      </c>
      <c r="H105" s="111">
        <f t="shared" si="161"/>
        <v>5204802.26</v>
      </c>
      <c r="I105" s="95">
        <f t="shared" si="159"/>
        <v>1040960.45</v>
      </c>
      <c r="J105" s="217">
        <v>20</v>
      </c>
      <c r="K105" s="98">
        <f t="shared" si="160"/>
        <v>6245762.71</v>
      </c>
      <c r="L105" s="98">
        <f>L104</f>
        <v>598410327.55999994</v>
      </c>
      <c r="M105" s="98"/>
      <c r="N105" s="116">
        <f>$I105*имущество!$F$3/имущество!$F$11</f>
        <v>347218.64</v>
      </c>
      <c r="O105" s="95">
        <f>$I105*имущество!$F$4/имущество!$F$11</f>
        <v>336266.2</v>
      </c>
      <c r="P105" s="95">
        <f>$I105*имущество!$F$5/имущество!$F$11</f>
        <v>324754.55</v>
      </c>
      <c r="Q105" s="95">
        <f>$I105*имущество!$F$6/имущество!$F$11</f>
        <v>3145.32</v>
      </c>
      <c r="R105" s="95">
        <f>$I105*имущество!$F$7/имущество!$F$11</f>
        <v>3145.32</v>
      </c>
      <c r="S105" s="95">
        <f>$I105*имущество!$F$8/имущество!$F$11</f>
        <v>3145.32</v>
      </c>
      <c r="T105" s="95">
        <f>$I105*имущество!$F$9/имущество!$F$11</f>
        <v>19085.060000000001</v>
      </c>
      <c r="U105" s="98">
        <f t="shared" si="154"/>
        <v>4200.04</v>
      </c>
    </row>
    <row r="106" spans="1:21" x14ac:dyDescent="0.25">
      <c r="A106" s="149">
        <v>46296</v>
      </c>
      <c r="B106" s="116">
        <f t="shared" si="155"/>
        <v>2418661.34</v>
      </c>
      <c r="C106" s="95">
        <f t="shared" si="152"/>
        <v>483732.27</v>
      </c>
      <c r="D106" s="98">
        <f t="shared" si="153"/>
        <v>2902393.61</v>
      </c>
      <c r="E106" s="116">
        <f t="shared" si="156"/>
        <v>2786140.92</v>
      </c>
      <c r="F106" s="95">
        <f t="shared" si="157"/>
        <v>557228.18000000005</v>
      </c>
      <c r="G106" s="98">
        <f t="shared" si="158"/>
        <v>3343369.1</v>
      </c>
      <c r="H106" s="111">
        <f t="shared" si="161"/>
        <v>5204802.26</v>
      </c>
      <c r="I106" s="95">
        <f t="shared" si="159"/>
        <v>1040960.45</v>
      </c>
      <c r="J106" s="217">
        <v>20</v>
      </c>
      <c r="K106" s="98">
        <f t="shared" si="160"/>
        <v>6245762.71</v>
      </c>
      <c r="L106" s="98">
        <f>L105-SUM(K103:K105)</f>
        <v>579673039.42999995</v>
      </c>
      <c r="M106" s="98"/>
      <c r="N106" s="116">
        <f>$I106*имущество!$F$3/имущество!$F$11</f>
        <v>347218.64</v>
      </c>
      <c r="O106" s="95">
        <f>$I106*имущество!$F$4/имущество!$F$11</f>
        <v>336266.2</v>
      </c>
      <c r="P106" s="95">
        <f>$I106*имущество!$F$5/имущество!$F$11</f>
        <v>324754.55</v>
      </c>
      <c r="Q106" s="95">
        <f>$I106*имущество!$F$6/имущество!$F$11</f>
        <v>3145.32</v>
      </c>
      <c r="R106" s="95">
        <f>$I106*имущество!$F$7/имущество!$F$11</f>
        <v>3145.32</v>
      </c>
      <c r="S106" s="95">
        <f>$I106*имущество!$F$8/имущество!$F$11</f>
        <v>3145.32</v>
      </c>
      <c r="T106" s="95">
        <f>$I106*имущество!$F$9/имущество!$F$11</f>
        <v>19085.060000000001</v>
      </c>
      <c r="U106" s="98">
        <f t="shared" si="154"/>
        <v>4200.04</v>
      </c>
    </row>
    <row r="107" spans="1:21" x14ac:dyDescent="0.25">
      <c r="A107" s="149">
        <v>46327</v>
      </c>
      <c r="B107" s="116">
        <f t="shared" si="155"/>
        <v>2418661.34</v>
      </c>
      <c r="C107" s="95">
        <f t="shared" si="152"/>
        <v>483732.27</v>
      </c>
      <c r="D107" s="98">
        <f t="shared" si="153"/>
        <v>2902393.61</v>
      </c>
      <c r="E107" s="116">
        <f t="shared" si="156"/>
        <v>2786140.92</v>
      </c>
      <c r="F107" s="95">
        <f t="shared" si="157"/>
        <v>557228.18000000005</v>
      </c>
      <c r="G107" s="98">
        <f t="shared" si="158"/>
        <v>3343369.1</v>
      </c>
      <c r="H107" s="111">
        <f t="shared" si="161"/>
        <v>5204802.26</v>
      </c>
      <c r="I107" s="95">
        <f t="shared" si="159"/>
        <v>1040960.45</v>
      </c>
      <c r="J107" s="217">
        <v>20</v>
      </c>
      <c r="K107" s="98">
        <f t="shared" si="160"/>
        <v>6245762.71</v>
      </c>
      <c r="L107" s="98">
        <f>L106</f>
        <v>579673039.42999995</v>
      </c>
      <c r="M107" s="98"/>
      <c r="N107" s="116">
        <f>$I107*имущество!$F$3/имущество!$F$11</f>
        <v>347218.64</v>
      </c>
      <c r="O107" s="95">
        <f>$I107*имущество!$F$4/имущество!$F$11</f>
        <v>336266.2</v>
      </c>
      <c r="P107" s="95">
        <f>$I107*имущество!$F$5/имущество!$F$11</f>
        <v>324754.55</v>
      </c>
      <c r="Q107" s="95">
        <f>$I107*имущество!$F$6/имущество!$F$11</f>
        <v>3145.32</v>
      </c>
      <c r="R107" s="95">
        <f>$I107*имущество!$F$7/имущество!$F$11</f>
        <v>3145.32</v>
      </c>
      <c r="S107" s="95">
        <f>$I107*имущество!$F$8/имущество!$F$11</f>
        <v>3145.32</v>
      </c>
      <c r="T107" s="95">
        <f>$I107*имущество!$F$9/имущество!$F$11</f>
        <v>19085.060000000001</v>
      </c>
      <c r="U107" s="98">
        <f t="shared" si="154"/>
        <v>4200.04</v>
      </c>
    </row>
    <row r="108" spans="1:21" ht="18.75" thickBot="1" x14ac:dyDescent="0.3">
      <c r="A108" s="148">
        <v>46357</v>
      </c>
      <c r="B108" s="114">
        <f t="shared" si="155"/>
        <v>2418661.34</v>
      </c>
      <c r="C108" s="102">
        <f t="shared" si="152"/>
        <v>483732.27</v>
      </c>
      <c r="D108" s="103">
        <f t="shared" si="153"/>
        <v>2902393.61</v>
      </c>
      <c r="E108" s="114">
        <f t="shared" si="156"/>
        <v>2786140.92</v>
      </c>
      <c r="F108" s="102">
        <f t="shared" si="157"/>
        <v>557228.18000000005</v>
      </c>
      <c r="G108" s="103">
        <f t="shared" si="158"/>
        <v>3343369.1</v>
      </c>
      <c r="H108" s="109">
        <f>H109-SUM(H97:H107)</f>
        <v>5204802.26</v>
      </c>
      <c r="I108" s="102">
        <f t="shared" si="159"/>
        <v>1040960.45</v>
      </c>
      <c r="J108" s="215">
        <v>20</v>
      </c>
      <c r="K108" s="103">
        <f t="shared" si="160"/>
        <v>6245762.71</v>
      </c>
      <c r="L108" s="103">
        <f>L107</f>
        <v>579673039.42999995</v>
      </c>
      <c r="M108" s="103"/>
      <c r="N108" s="114">
        <f>$I108*имущество!$F$3/имущество!$F$11</f>
        <v>347218.64</v>
      </c>
      <c r="O108" s="102">
        <f>$I108*имущество!$F$4/имущество!$F$11</f>
        <v>336266.2</v>
      </c>
      <c r="P108" s="102">
        <f>$I108*имущество!$F$5/имущество!$F$11</f>
        <v>324754.55</v>
      </c>
      <c r="Q108" s="102">
        <f>$I108*имущество!$F$6/имущество!$F$11</f>
        <v>3145.32</v>
      </c>
      <c r="R108" s="102">
        <f>$I108*имущество!$F$7/имущество!$F$11</f>
        <v>3145.32</v>
      </c>
      <c r="S108" s="102">
        <f>$I108*имущество!$F$8/имущество!$F$11</f>
        <v>3145.32</v>
      </c>
      <c r="T108" s="102">
        <f>$I108*имущество!$F$9/имущество!$F$11</f>
        <v>19085.060000000001</v>
      </c>
      <c r="U108" s="103">
        <f t="shared" si="154"/>
        <v>4200.04</v>
      </c>
    </row>
    <row r="109" spans="1:21" s="117" customFormat="1" ht="18.75" thickBot="1" x14ac:dyDescent="0.3">
      <c r="A109" s="106">
        <f>A96+1</f>
        <v>2026</v>
      </c>
      <c r="B109" s="115">
        <f t="shared" ref="B109" si="162">SUM(B97:B108)</f>
        <v>29023936.079999998</v>
      </c>
      <c r="C109" s="104">
        <f t="shared" ref="C109" si="163">SUM(C97:C108)</f>
        <v>5804787.2400000002</v>
      </c>
      <c r="D109" s="105">
        <f t="shared" ref="D109" si="164">SUM(D97:D108)</f>
        <v>34828723.32</v>
      </c>
      <c r="E109" s="115">
        <f t="shared" ref="E109" si="165">SUM(E97:E108)</f>
        <v>33433691.039999999</v>
      </c>
      <c r="F109" s="104">
        <f t="shared" ref="F109" si="166">SUM(F97:F108)</f>
        <v>6686738.1600000001</v>
      </c>
      <c r="G109" s="105">
        <f t="shared" ref="G109" si="167">SUM(G97:G108)</f>
        <v>40120429.200000003</v>
      </c>
      <c r="H109" s="110">
        <f>Лист2!E23</f>
        <v>62457627.119999997</v>
      </c>
      <c r="I109" s="104">
        <f t="shared" ref="I109" si="168">SUM(I97:I108)</f>
        <v>12491525.4</v>
      </c>
      <c r="J109" s="216">
        <v>20</v>
      </c>
      <c r="K109" s="105">
        <f t="shared" ref="K109" si="169">SUM(K97:K108)</f>
        <v>74949152.519999996</v>
      </c>
      <c r="L109" s="105">
        <f>L108</f>
        <v>579673039.42999995</v>
      </c>
      <c r="M109" s="105">
        <f>L122</f>
        <v>502435751.20999998</v>
      </c>
      <c r="N109" s="115">
        <f t="shared" ref="N109" si="170">SUM(N97:N108)</f>
        <v>4166623.68</v>
      </c>
      <c r="O109" s="104">
        <f t="shared" ref="O109" si="171">SUM(O97:O108)</f>
        <v>4035194.4</v>
      </c>
      <c r="P109" s="104">
        <f t="shared" ref="P109" si="172">SUM(P97:P108)</f>
        <v>3897054.6</v>
      </c>
      <c r="Q109" s="104">
        <f t="shared" ref="Q109" si="173">SUM(Q97:Q108)</f>
        <v>37743.839999999997</v>
      </c>
      <c r="R109" s="104">
        <f t="shared" ref="R109" si="174">SUM(R97:R108)</f>
        <v>37743.839999999997</v>
      </c>
      <c r="S109" s="104">
        <f t="shared" ref="S109" si="175">SUM(S97:S108)</f>
        <v>37743.839999999997</v>
      </c>
      <c r="T109" s="104">
        <f t="shared" ref="T109" si="176">SUM(T97:T108)</f>
        <v>229020.72</v>
      </c>
      <c r="U109" s="105">
        <f t="shared" ref="U109" si="177">SUM(U97:U108)</f>
        <v>50400.480000000003</v>
      </c>
    </row>
    <row r="110" spans="1:21" x14ac:dyDescent="0.25">
      <c r="A110" s="147">
        <v>46388</v>
      </c>
      <c r="B110" s="113">
        <f t="shared" ref="B110" si="178">B97</f>
        <v>2418661.34</v>
      </c>
      <c r="C110" s="96">
        <f t="shared" ref="C110:C121" si="179">B110*J110/100</f>
        <v>483732.27</v>
      </c>
      <c r="D110" s="97">
        <f t="shared" ref="D110:D121" si="180">C110+B110</f>
        <v>2902393.61</v>
      </c>
      <c r="E110" s="113">
        <f>H110-B110</f>
        <v>2998005.33</v>
      </c>
      <c r="F110" s="96">
        <f>E110*J110/100</f>
        <v>599601.06999999995</v>
      </c>
      <c r="G110" s="97">
        <f>F110+E110</f>
        <v>3597606.4</v>
      </c>
      <c r="H110" s="108">
        <f>H122/12</f>
        <v>5416666.6699999999</v>
      </c>
      <c r="I110" s="96">
        <f>F110+C110</f>
        <v>1083333.3400000001</v>
      </c>
      <c r="J110" s="214">
        <v>20</v>
      </c>
      <c r="K110" s="97">
        <f>I110+H110</f>
        <v>6500000.0099999998</v>
      </c>
      <c r="L110" s="97">
        <f>L109-SUM(K106:K108)</f>
        <v>560935751.29999995</v>
      </c>
      <c r="M110" s="97"/>
      <c r="N110" s="113">
        <f>$I110*имущество!$F$3/имущество!$F$11</f>
        <v>361352.38</v>
      </c>
      <c r="O110" s="96">
        <f>$I110*имущество!$F$4/имущество!$F$11</f>
        <v>349954.11</v>
      </c>
      <c r="P110" s="96">
        <f>$I110*имущество!$F$5/имущество!$F$11</f>
        <v>337973.87</v>
      </c>
      <c r="Q110" s="96">
        <f>$I110*имущество!$F$6/имущество!$F$11</f>
        <v>3273.35</v>
      </c>
      <c r="R110" s="96">
        <f>$I110*имущество!$F$7/имущество!$F$11</f>
        <v>3273.35</v>
      </c>
      <c r="S110" s="96">
        <f>$I110*имущество!$F$8/имущество!$F$11</f>
        <v>3273.35</v>
      </c>
      <c r="T110" s="96">
        <f>$I110*имущество!$F$9/имущество!$F$11</f>
        <v>19861.93</v>
      </c>
      <c r="U110" s="97">
        <f t="shared" ref="U110:U121" si="181">I110-SUM(N110:T110)</f>
        <v>4371</v>
      </c>
    </row>
    <row r="111" spans="1:21" x14ac:dyDescent="0.25">
      <c r="A111" s="149">
        <v>46419</v>
      </c>
      <c r="B111" s="116">
        <f t="shared" ref="B111:B121" si="182">B110</f>
        <v>2418661.34</v>
      </c>
      <c r="C111" s="95">
        <f t="shared" si="179"/>
        <v>483732.27</v>
      </c>
      <c r="D111" s="98">
        <f t="shared" si="180"/>
        <v>2902393.61</v>
      </c>
      <c r="E111" s="116">
        <f t="shared" ref="E111:E121" si="183">H111-B111</f>
        <v>2998005.33</v>
      </c>
      <c r="F111" s="95">
        <f t="shared" ref="F111:F121" si="184">E111*J111/100</f>
        <v>599601.06999999995</v>
      </c>
      <c r="G111" s="98">
        <f t="shared" ref="G111:G121" si="185">F111+E111</f>
        <v>3597606.4</v>
      </c>
      <c r="H111" s="111">
        <f>H110</f>
        <v>5416666.6699999999</v>
      </c>
      <c r="I111" s="95">
        <f t="shared" ref="I111:I121" si="186">F111+C111</f>
        <v>1083333.3400000001</v>
      </c>
      <c r="J111" s="217">
        <v>20</v>
      </c>
      <c r="K111" s="98">
        <f t="shared" ref="K111:K121" si="187">I111+H111</f>
        <v>6500000.0099999998</v>
      </c>
      <c r="L111" s="98">
        <f>L110</f>
        <v>560935751.29999995</v>
      </c>
      <c r="M111" s="98"/>
      <c r="N111" s="116">
        <f>$I111*имущество!$F$3/имущество!$F$11</f>
        <v>361352.38</v>
      </c>
      <c r="O111" s="95">
        <f>$I111*имущество!$F$4/имущество!$F$11</f>
        <v>349954.11</v>
      </c>
      <c r="P111" s="95">
        <f>$I111*имущество!$F$5/имущество!$F$11</f>
        <v>337973.87</v>
      </c>
      <c r="Q111" s="95">
        <f>$I111*имущество!$F$6/имущество!$F$11</f>
        <v>3273.35</v>
      </c>
      <c r="R111" s="95">
        <f>$I111*имущество!$F$7/имущество!$F$11</f>
        <v>3273.35</v>
      </c>
      <c r="S111" s="95">
        <f>$I111*имущество!$F$8/имущество!$F$11</f>
        <v>3273.35</v>
      </c>
      <c r="T111" s="95">
        <f>$I111*имущество!$F$9/имущество!$F$11</f>
        <v>19861.93</v>
      </c>
      <c r="U111" s="98">
        <f t="shared" si="181"/>
        <v>4371</v>
      </c>
    </row>
    <row r="112" spans="1:21" x14ac:dyDescent="0.25">
      <c r="A112" s="149">
        <v>46447</v>
      </c>
      <c r="B112" s="116">
        <f t="shared" si="182"/>
        <v>2418661.34</v>
      </c>
      <c r="C112" s="95">
        <f t="shared" si="179"/>
        <v>483732.27</v>
      </c>
      <c r="D112" s="98">
        <f t="shared" si="180"/>
        <v>2902393.61</v>
      </c>
      <c r="E112" s="116">
        <f t="shared" si="183"/>
        <v>2998005.33</v>
      </c>
      <c r="F112" s="95">
        <f t="shared" si="184"/>
        <v>599601.06999999995</v>
      </c>
      <c r="G112" s="98">
        <f t="shared" si="185"/>
        <v>3597606.4</v>
      </c>
      <c r="H112" s="111">
        <f t="shared" ref="H112:H120" si="188">H111</f>
        <v>5416666.6699999999</v>
      </c>
      <c r="I112" s="95">
        <f t="shared" si="186"/>
        <v>1083333.3400000001</v>
      </c>
      <c r="J112" s="217">
        <v>20</v>
      </c>
      <c r="K112" s="98">
        <f t="shared" si="187"/>
        <v>6500000.0099999998</v>
      </c>
      <c r="L112" s="98">
        <f>L111</f>
        <v>560935751.29999995</v>
      </c>
      <c r="M112" s="98"/>
      <c r="N112" s="116">
        <f>$I112*имущество!$F$3/имущество!$F$11</f>
        <v>361352.38</v>
      </c>
      <c r="O112" s="95">
        <f>$I112*имущество!$F$4/имущество!$F$11</f>
        <v>349954.11</v>
      </c>
      <c r="P112" s="95">
        <f>$I112*имущество!$F$5/имущество!$F$11</f>
        <v>337973.87</v>
      </c>
      <c r="Q112" s="95">
        <f>$I112*имущество!$F$6/имущество!$F$11</f>
        <v>3273.35</v>
      </c>
      <c r="R112" s="95">
        <f>$I112*имущество!$F$7/имущество!$F$11</f>
        <v>3273.35</v>
      </c>
      <c r="S112" s="95">
        <f>$I112*имущество!$F$8/имущество!$F$11</f>
        <v>3273.35</v>
      </c>
      <c r="T112" s="95">
        <f>$I112*имущество!$F$9/имущество!$F$11</f>
        <v>19861.93</v>
      </c>
      <c r="U112" s="98">
        <f t="shared" si="181"/>
        <v>4371</v>
      </c>
    </row>
    <row r="113" spans="1:21" x14ac:dyDescent="0.25">
      <c r="A113" s="149">
        <v>46478</v>
      </c>
      <c r="B113" s="116">
        <f t="shared" si="182"/>
        <v>2418661.34</v>
      </c>
      <c r="C113" s="95">
        <f t="shared" si="179"/>
        <v>483732.27</v>
      </c>
      <c r="D113" s="98">
        <f t="shared" si="180"/>
        <v>2902393.61</v>
      </c>
      <c r="E113" s="116">
        <f t="shared" si="183"/>
        <v>2998005.33</v>
      </c>
      <c r="F113" s="95">
        <f t="shared" si="184"/>
        <v>599601.06999999995</v>
      </c>
      <c r="G113" s="98">
        <f t="shared" si="185"/>
        <v>3597606.4</v>
      </c>
      <c r="H113" s="111">
        <f t="shared" si="188"/>
        <v>5416666.6699999999</v>
      </c>
      <c r="I113" s="95">
        <f t="shared" si="186"/>
        <v>1083333.3400000001</v>
      </c>
      <c r="J113" s="217">
        <v>20</v>
      </c>
      <c r="K113" s="98">
        <f t="shared" si="187"/>
        <v>6500000.0099999998</v>
      </c>
      <c r="L113" s="98">
        <f>L112-SUM(K110:K112)</f>
        <v>541435751.26999998</v>
      </c>
      <c r="M113" s="98"/>
      <c r="N113" s="116">
        <f>$I113*имущество!$F$3/имущество!$F$11</f>
        <v>361352.38</v>
      </c>
      <c r="O113" s="95">
        <f>$I113*имущество!$F$4/имущество!$F$11</f>
        <v>349954.11</v>
      </c>
      <c r="P113" s="95">
        <f>$I113*имущество!$F$5/имущество!$F$11</f>
        <v>337973.87</v>
      </c>
      <c r="Q113" s="95">
        <f>$I113*имущество!$F$6/имущество!$F$11</f>
        <v>3273.35</v>
      </c>
      <c r="R113" s="95">
        <f>$I113*имущество!$F$7/имущество!$F$11</f>
        <v>3273.35</v>
      </c>
      <c r="S113" s="95">
        <f>$I113*имущество!$F$8/имущество!$F$11</f>
        <v>3273.35</v>
      </c>
      <c r="T113" s="95">
        <f>$I113*имущество!$F$9/имущество!$F$11</f>
        <v>19861.93</v>
      </c>
      <c r="U113" s="98">
        <f t="shared" si="181"/>
        <v>4371</v>
      </c>
    </row>
    <row r="114" spans="1:21" x14ac:dyDescent="0.25">
      <c r="A114" s="149">
        <v>46508</v>
      </c>
      <c r="B114" s="116">
        <f t="shared" si="182"/>
        <v>2418661.34</v>
      </c>
      <c r="C114" s="95">
        <f t="shared" si="179"/>
        <v>483732.27</v>
      </c>
      <c r="D114" s="98">
        <f t="shared" si="180"/>
        <v>2902393.61</v>
      </c>
      <c r="E114" s="116">
        <f t="shared" si="183"/>
        <v>2998005.33</v>
      </c>
      <c r="F114" s="95">
        <f t="shared" si="184"/>
        <v>599601.06999999995</v>
      </c>
      <c r="G114" s="98">
        <f t="shared" si="185"/>
        <v>3597606.4</v>
      </c>
      <c r="H114" s="111">
        <f t="shared" si="188"/>
        <v>5416666.6699999999</v>
      </c>
      <c r="I114" s="95">
        <f t="shared" si="186"/>
        <v>1083333.3400000001</v>
      </c>
      <c r="J114" s="217">
        <v>20</v>
      </c>
      <c r="K114" s="98">
        <f t="shared" si="187"/>
        <v>6500000.0099999998</v>
      </c>
      <c r="L114" s="98">
        <f>L113</f>
        <v>541435751.26999998</v>
      </c>
      <c r="M114" s="98"/>
      <c r="N114" s="116">
        <f>$I114*имущество!$F$3/имущество!$F$11</f>
        <v>361352.38</v>
      </c>
      <c r="O114" s="95">
        <f>$I114*имущество!$F$4/имущество!$F$11</f>
        <v>349954.11</v>
      </c>
      <c r="P114" s="95">
        <f>$I114*имущество!$F$5/имущество!$F$11</f>
        <v>337973.87</v>
      </c>
      <c r="Q114" s="95">
        <f>$I114*имущество!$F$6/имущество!$F$11</f>
        <v>3273.35</v>
      </c>
      <c r="R114" s="95">
        <f>$I114*имущество!$F$7/имущество!$F$11</f>
        <v>3273.35</v>
      </c>
      <c r="S114" s="95">
        <f>$I114*имущество!$F$8/имущество!$F$11</f>
        <v>3273.35</v>
      </c>
      <c r="T114" s="95">
        <f>$I114*имущество!$F$9/имущество!$F$11</f>
        <v>19861.93</v>
      </c>
      <c r="U114" s="98">
        <f t="shared" si="181"/>
        <v>4371</v>
      </c>
    </row>
    <row r="115" spans="1:21" x14ac:dyDescent="0.25">
      <c r="A115" s="149">
        <v>46539</v>
      </c>
      <c r="B115" s="116">
        <f t="shared" si="182"/>
        <v>2418661.34</v>
      </c>
      <c r="C115" s="95">
        <f t="shared" si="179"/>
        <v>483732.27</v>
      </c>
      <c r="D115" s="98">
        <f t="shared" si="180"/>
        <v>2902393.61</v>
      </c>
      <c r="E115" s="116">
        <f t="shared" si="183"/>
        <v>2998005.33</v>
      </c>
      <c r="F115" s="95">
        <f t="shared" si="184"/>
        <v>599601.06999999995</v>
      </c>
      <c r="G115" s="98">
        <f t="shared" si="185"/>
        <v>3597606.4</v>
      </c>
      <c r="H115" s="111">
        <f t="shared" si="188"/>
        <v>5416666.6699999999</v>
      </c>
      <c r="I115" s="95">
        <f t="shared" si="186"/>
        <v>1083333.3400000001</v>
      </c>
      <c r="J115" s="217">
        <v>20</v>
      </c>
      <c r="K115" s="98">
        <f t="shared" si="187"/>
        <v>6500000.0099999998</v>
      </c>
      <c r="L115" s="98">
        <f>L114</f>
        <v>541435751.26999998</v>
      </c>
      <c r="M115" s="98"/>
      <c r="N115" s="116">
        <f>$I115*имущество!$F$3/имущество!$F$11</f>
        <v>361352.38</v>
      </c>
      <c r="O115" s="95">
        <f>$I115*имущество!$F$4/имущество!$F$11</f>
        <v>349954.11</v>
      </c>
      <c r="P115" s="95">
        <f>$I115*имущество!$F$5/имущество!$F$11</f>
        <v>337973.87</v>
      </c>
      <c r="Q115" s="95">
        <f>$I115*имущество!$F$6/имущество!$F$11</f>
        <v>3273.35</v>
      </c>
      <c r="R115" s="95">
        <f>$I115*имущество!$F$7/имущество!$F$11</f>
        <v>3273.35</v>
      </c>
      <c r="S115" s="95">
        <f>$I115*имущество!$F$8/имущество!$F$11</f>
        <v>3273.35</v>
      </c>
      <c r="T115" s="95">
        <f>$I115*имущество!$F$9/имущество!$F$11</f>
        <v>19861.93</v>
      </c>
      <c r="U115" s="98">
        <f t="shared" si="181"/>
        <v>4371</v>
      </c>
    </row>
    <row r="116" spans="1:21" x14ac:dyDescent="0.25">
      <c r="A116" s="149">
        <v>46569</v>
      </c>
      <c r="B116" s="116">
        <f t="shared" si="182"/>
        <v>2418661.34</v>
      </c>
      <c r="C116" s="95">
        <f t="shared" si="179"/>
        <v>483732.27</v>
      </c>
      <c r="D116" s="98">
        <f t="shared" si="180"/>
        <v>2902393.61</v>
      </c>
      <c r="E116" s="116">
        <f t="shared" si="183"/>
        <v>2998005.33</v>
      </c>
      <c r="F116" s="95">
        <f t="shared" si="184"/>
        <v>599601.06999999995</v>
      </c>
      <c r="G116" s="98">
        <f t="shared" si="185"/>
        <v>3597606.4</v>
      </c>
      <c r="H116" s="111">
        <f t="shared" si="188"/>
        <v>5416666.6699999999</v>
      </c>
      <c r="I116" s="95">
        <f t="shared" si="186"/>
        <v>1083333.3400000001</v>
      </c>
      <c r="J116" s="217">
        <v>20</v>
      </c>
      <c r="K116" s="98">
        <f t="shared" si="187"/>
        <v>6500000.0099999998</v>
      </c>
      <c r="L116" s="98">
        <f>L115-SUM(K113:K115)</f>
        <v>521935751.24000001</v>
      </c>
      <c r="M116" s="98"/>
      <c r="N116" s="116">
        <f>$I116*имущество!$F$3/имущество!$F$11</f>
        <v>361352.38</v>
      </c>
      <c r="O116" s="95">
        <f>$I116*имущество!$F$4/имущество!$F$11</f>
        <v>349954.11</v>
      </c>
      <c r="P116" s="95">
        <f>$I116*имущество!$F$5/имущество!$F$11</f>
        <v>337973.87</v>
      </c>
      <c r="Q116" s="95">
        <f>$I116*имущество!$F$6/имущество!$F$11</f>
        <v>3273.35</v>
      </c>
      <c r="R116" s="95">
        <f>$I116*имущество!$F$7/имущество!$F$11</f>
        <v>3273.35</v>
      </c>
      <c r="S116" s="95">
        <f>$I116*имущество!$F$8/имущество!$F$11</f>
        <v>3273.35</v>
      </c>
      <c r="T116" s="95">
        <f>$I116*имущество!$F$9/имущество!$F$11</f>
        <v>19861.93</v>
      </c>
      <c r="U116" s="98">
        <f t="shared" si="181"/>
        <v>4371</v>
      </c>
    </row>
    <row r="117" spans="1:21" x14ac:dyDescent="0.25">
      <c r="A117" s="149">
        <v>46600</v>
      </c>
      <c r="B117" s="116">
        <f t="shared" si="182"/>
        <v>2418661.34</v>
      </c>
      <c r="C117" s="95">
        <f t="shared" si="179"/>
        <v>483732.27</v>
      </c>
      <c r="D117" s="98">
        <f t="shared" si="180"/>
        <v>2902393.61</v>
      </c>
      <c r="E117" s="116">
        <f t="shared" si="183"/>
        <v>2998005.33</v>
      </c>
      <c r="F117" s="95">
        <f t="shared" si="184"/>
        <v>599601.06999999995</v>
      </c>
      <c r="G117" s="98">
        <f t="shared" si="185"/>
        <v>3597606.4</v>
      </c>
      <c r="H117" s="111">
        <f t="shared" si="188"/>
        <v>5416666.6699999999</v>
      </c>
      <c r="I117" s="95">
        <f t="shared" si="186"/>
        <v>1083333.3400000001</v>
      </c>
      <c r="J117" s="217">
        <v>20</v>
      </c>
      <c r="K117" s="98">
        <f t="shared" si="187"/>
        <v>6500000.0099999998</v>
      </c>
      <c r="L117" s="98">
        <f>L116</f>
        <v>521935751.24000001</v>
      </c>
      <c r="M117" s="98"/>
      <c r="N117" s="116">
        <f>$I117*имущество!$F$3/имущество!$F$11</f>
        <v>361352.38</v>
      </c>
      <c r="O117" s="95">
        <f>$I117*имущество!$F$4/имущество!$F$11</f>
        <v>349954.11</v>
      </c>
      <c r="P117" s="95">
        <f>$I117*имущество!$F$5/имущество!$F$11</f>
        <v>337973.87</v>
      </c>
      <c r="Q117" s="95">
        <f>$I117*имущество!$F$6/имущество!$F$11</f>
        <v>3273.35</v>
      </c>
      <c r="R117" s="95">
        <f>$I117*имущество!$F$7/имущество!$F$11</f>
        <v>3273.35</v>
      </c>
      <c r="S117" s="95">
        <f>$I117*имущество!$F$8/имущество!$F$11</f>
        <v>3273.35</v>
      </c>
      <c r="T117" s="95">
        <f>$I117*имущество!$F$9/имущество!$F$11</f>
        <v>19861.93</v>
      </c>
      <c r="U117" s="98">
        <f t="shared" si="181"/>
        <v>4371</v>
      </c>
    </row>
    <row r="118" spans="1:21" x14ac:dyDescent="0.25">
      <c r="A118" s="149">
        <v>46631</v>
      </c>
      <c r="B118" s="116">
        <f t="shared" si="182"/>
        <v>2418661.34</v>
      </c>
      <c r="C118" s="95">
        <f t="shared" si="179"/>
        <v>483732.27</v>
      </c>
      <c r="D118" s="98">
        <f t="shared" si="180"/>
        <v>2902393.61</v>
      </c>
      <c r="E118" s="116">
        <f t="shared" si="183"/>
        <v>2998005.33</v>
      </c>
      <c r="F118" s="95">
        <f t="shared" si="184"/>
        <v>599601.06999999995</v>
      </c>
      <c r="G118" s="98">
        <f t="shared" si="185"/>
        <v>3597606.4</v>
      </c>
      <c r="H118" s="111">
        <f t="shared" si="188"/>
        <v>5416666.6699999999</v>
      </c>
      <c r="I118" s="95">
        <f t="shared" si="186"/>
        <v>1083333.3400000001</v>
      </c>
      <c r="J118" s="217">
        <v>20</v>
      </c>
      <c r="K118" s="98">
        <f t="shared" si="187"/>
        <v>6500000.0099999998</v>
      </c>
      <c r="L118" s="98">
        <f>L117</f>
        <v>521935751.24000001</v>
      </c>
      <c r="M118" s="98"/>
      <c r="N118" s="116">
        <f>$I118*имущество!$F$3/имущество!$F$11</f>
        <v>361352.38</v>
      </c>
      <c r="O118" s="95">
        <f>$I118*имущество!$F$4/имущество!$F$11</f>
        <v>349954.11</v>
      </c>
      <c r="P118" s="95">
        <f>$I118*имущество!$F$5/имущество!$F$11</f>
        <v>337973.87</v>
      </c>
      <c r="Q118" s="95">
        <f>$I118*имущество!$F$6/имущество!$F$11</f>
        <v>3273.35</v>
      </c>
      <c r="R118" s="95">
        <f>$I118*имущество!$F$7/имущество!$F$11</f>
        <v>3273.35</v>
      </c>
      <c r="S118" s="95">
        <f>$I118*имущество!$F$8/имущество!$F$11</f>
        <v>3273.35</v>
      </c>
      <c r="T118" s="95">
        <f>$I118*имущество!$F$9/имущество!$F$11</f>
        <v>19861.93</v>
      </c>
      <c r="U118" s="98">
        <f t="shared" si="181"/>
        <v>4371</v>
      </c>
    </row>
    <row r="119" spans="1:21" x14ac:dyDescent="0.25">
      <c r="A119" s="149">
        <v>46661</v>
      </c>
      <c r="B119" s="116">
        <f t="shared" si="182"/>
        <v>2418661.34</v>
      </c>
      <c r="C119" s="95">
        <f t="shared" si="179"/>
        <v>483732.27</v>
      </c>
      <c r="D119" s="98">
        <f t="shared" si="180"/>
        <v>2902393.61</v>
      </c>
      <c r="E119" s="116">
        <f t="shared" si="183"/>
        <v>2998005.33</v>
      </c>
      <c r="F119" s="95">
        <f t="shared" si="184"/>
        <v>599601.06999999995</v>
      </c>
      <c r="G119" s="98">
        <f t="shared" si="185"/>
        <v>3597606.4</v>
      </c>
      <c r="H119" s="111">
        <f t="shared" si="188"/>
        <v>5416666.6699999999</v>
      </c>
      <c r="I119" s="95">
        <f t="shared" si="186"/>
        <v>1083333.3400000001</v>
      </c>
      <c r="J119" s="217">
        <v>20</v>
      </c>
      <c r="K119" s="98">
        <f t="shared" si="187"/>
        <v>6500000.0099999998</v>
      </c>
      <c r="L119" s="98">
        <f>L118-SUM(K116:K118)</f>
        <v>502435751.20999998</v>
      </c>
      <c r="M119" s="98"/>
      <c r="N119" s="116">
        <f>$I119*имущество!$F$3/имущество!$F$11</f>
        <v>361352.38</v>
      </c>
      <c r="O119" s="95">
        <f>$I119*имущество!$F$4/имущество!$F$11</f>
        <v>349954.11</v>
      </c>
      <c r="P119" s="95">
        <f>$I119*имущество!$F$5/имущество!$F$11</f>
        <v>337973.87</v>
      </c>
      <c r="Q119" s="95">
        <f>$I119*имущество!$F$6/имущество!$F$11</f>
        <v>3273.35</v>
      </c>
      <c r="R119" s="95">
        <f>$I119*имущество!$F$7/имущество!$F$11</f>
        <v>3273.35</v>
      </c>
      <c r="S119" s="95">
        <f>$I119*имущество!$F$8/имущество!$F$11</f>
        <v>3273.35</v>
      </c>
      <c r="T119" s="95">
        <f>$I119*имущество!$F$9/имущество!$F$11</f>
        <v>19861.93</v>
      </c>
      <c r="U119" s="98">
        <f t="shared" si="181"/>
        <v>4371</v>
      </c>
    </row>
    <row r="120" spans="1:21" x14ac:dyDescent="0.25">
      <c r="A120" s="149">
        <v>46692</v>
      </c>
      <c r="B120" s="116">
        <f t="shared" si="182"/>
        <v>2418661.34</v>
      </c>
      <c r="C120" s="95">
        <f t="shared" si="179"/>
        <v>483732.27</v>
      </c>
      <c r="D120" s="98">
        <f t="shared" si="180"/>
        <v>2902393.61</v>
      </c>
      <c r="E120" s="116">
        <f t="shared" si="183"/>
        <v>2998005.33</v>
      </c>
      <c r="F120" s="95">
        <f t="shared" si="184"/>
        <v>599601.06999999995</v>
      </c>
      <c r="G120" s="98">
        <f t="shared" si="185"/>
        <v>3597606.4</v>
      </c>
      <c r="H120" s="111">
        <f t="shared" si="188"/>
        <v>5416666.6699999999</v>
      </c>
      <c r="I120" s="95">
        <f t="shared" si="186"/>
        <v>1083333.3400000001</v>
      </c>
      <c r="J120" s="217">
        <v>20</v>
      </c>
      <c r="K120" s="98">
        <f t="shared" si="187"/>
        <v>6500000.0099999998</v>
      </c>
      <c r="L120" s="98">
        <f>L119</f>
        <v>502435751.20999998</v>
      </c>
      <c r="M120" s="98"/>
      <c r="N120" s="116">
        <f>$I120*имущество!$F$3/имущество!$F$11</f>
        <v>361352.38</v>
      </c>
      <c r="O120" s="95">
        <f>$I120*имущество!$F$4/имущество!$F$11</f>
        <v>349954.11</v>
      </c>
      <c r="P120" s="95">
        <f>$I120*имущество!$F$5/имущество!$F$11</f>
        <v>337973.87</v>
      </c>
      <c r="Q120" s="95">
        <f>$I120*имущество!$F$6/имущество!$F$11</f>
        <v>3273.35</v>
      </c>
      <c r="R120" s="95">
        <f>$I120*имущество!$F$7/имущество!$F$11</f>
        <v>3273.35</v>
      </c>
      <c r="S120" s="95">
        <f>$I120*имущество!$F$8/имущество!$F$11</f>
        <v>3273.35</v>
      </c>
      <c r="T120" s="95">
        <f>$I120*имущество!$F$9/имущество!$F$11</f>
        <v>19861.93</v>
      </c>
      <c r="U120" s="98">
        <f t="shared" si="181"/>
        <v>4371</v>
      </c>
    </row>
    <row r="121" spans="1:21" ht="18.75" thickBot="1" x14ac:dyDescent="0.3">
      <c r="A121" s="148">
        <v>46722</v>
      </c>
      <c r="B121" s="114">
        <f t="shared" si="182"/>
        <v>2418661.34</v>
      </c>
      <c r="C121" s="102">
        <f t="shared" si="179"/>
        <v>483732.27</v>
      </c>
      <c r="D121" s="103">
        <f t="shared" si="180"/>
        <v>2902393.61</v>
      </c>
      <c r="E121" s="114">
        <f t="shared" si="183"/>
        <v>2998005.29</v>
      </c>
      <c r="F121" s="102">
        <f t="shared" si="184"/>
        <v>599601.06000000006</v>
      </c>
      <c r="G121" s="103">
        <f t="shared" si="185"/>
        <v>3597606.35</v>
      </c>
      <c r="H121" s="109">
        <f>H122-SUM(H110:H120)</f>
        <v>5416666.6299999999</v>
      </c>
      <c r="I121" s="102">
        <f t="shared" si="186"/>
        <v>1083333.33</v>
      </c>
      <c r="J121" s="215">
        <v>20</v>
      </c>
      <c r="K121" s="103">
        <f t="shared" si="187"/>
        <v>6499999.96</v>
      </c>
      <c r="L121" s="103">
        <f>L120</f>
        <v>502435751.20999998</v>
      </c>
      <c r="M121" s="103"/>
      <c r="N121" s="114">
        <f>$I121*имущество!$F$3/имущество!$F$11</f>
        <v>361352.37</v>
      </c>
      <c r="O121" s="102">
        <f>$I121*имущество!$F$4/имущество!$F$11</f>
        <v>349954.11</v>
      </c>
      <c r="P121" s="102">
        <f>$I121*имущество!$F$5/имущество!$F$11</f>
        <v>337973.86</v>
      </c>
      <c r="Q121" s="102">
        <f>$I121*имущество!$F$6/имущество!$F$11</f>
        <v>3273.35</v>
      </c>
      <c r="R121" s="102">
        <f>$I121*имущество!$F$7/имущество!$F$11</f>
        <v>3273.35</v>
      </c>
      <c r="S121" s="102">
        <f>$I121*имущество!$F$8/имущество!$F$11</f>
        <v>3273.35</v>
      </c>
      <c r="T121" s="102">
        <f>$I121*имущество!$F$9/имущество!$F$11</f>
        <v>19861.93</v>
      </c>
      <c r="U121" s="103">
        <f t="shared" si="181"/>
        <v>4371.01</v>
      </c>
    </row>
    <row r="122" spans="1:21" s="117" customFormat="1" ht="18.75" thickBot="1" x14ac:dyDescent="0.3">
      <c r="A122" s="106">
        <f>A109+1</f>
        <v>2027</v>
      </c>
      <c r="B122" s="115">
        <f t="shared" ref="B122" si="189">SUM(B110:B121)</f>
        <v>29023936.079999998</v>
      </c>
      <c r="C122" s="104">
        <f t="shared" ref="C122" si="190">SUM(C110:C121)</f>
        <v>5804787.2400000002</v>
      </c>
      <c r="D122" s="105">
        <f t="shared" ref="D122" si="191">SUM(D110:D121)</f>
        <v>34828723.32</v>
      </c>
      <c r="E122" s="115">
        <f t="shared" ref="E122" si="192">SUM(E110:E121)</f>
        <v>35976063.920000002</v>
      </c>
      <c r="F122" s="104">
        <f t="shared" ref="F122" si="193">SUM(F110:F121)</f>
        <v>7195212.8300000001</v>
      </c>
      <c r="G122" s="105">
        <f t="shared" ref="G122" si="194">SUM(G110:G121)</f>
        <v>43171276.75</v>
      </c>
      <c r="H122" s="110">
        <f>Лист2!E24</f>
        <v>65000000</v>
      </c>
      <c r="I122" s="104">
        <f t="shared" ref="I122" si="195">SUM(I110:I121)</f>
        <v>13000000.07</v>
      </c>
      <c r="J122" s="216">
        <v>20</v>
      </c>
      <c r="K122" s="105">
        <f t="shared" ref="K122" si="196">SUM(K110:K121)</f>
        <v>78000000.069999993</v>
      </c>
      <c r="L122" s="105">
        <f>L121</f>
        <v>502435751.20999998</v>
      </c>
      <c r="M122" s="105">
        <f>L135</f>
        <v>422094225.73000002</v>
      </c>
      <c r="N122" s="115">
        <f t="shared" ref="N122" si="197">SUM(N110:N121)</f>
        <v>4336228.55</v>
      </c>
      <c r="O122" s="104">
        <f t="shared" ref="O122" si="198">SUM(O110:O121)</f>
        <v>4199449.32</v>
      </c>
      <c r="P122" s="104">
        <f t="shared" ref="P122" si="199">SUM(P110:P121)</f>
        <v>4055686.43</v>
      </c>
      <c r="Q122" s="104">
        <f t="shared" ref="Q122" si="200">SUM(Q110:Q121)</f>
        <v>39280.199999999997</v>
      </c>
      <c r="R122" s="104">
        <f t="shared" ref="R122" si="201">SUM(R110:R121)</f>
        <v>39280.199999999997</v>
      </c>
      <c r="S122" s="104">
        <f t="shared" ref="S122" si="202">SUM(S110:S121)</f>
        <v>39280.199999999997</v>
      </c>
      <c r="T122" s="104">
        <f t="shared" ref="T122" si="203">SUM(T110:T121)</f>
        <v>238343.16</v>
      </c>
      <c r="U122" s="105">
        <f t="shared" ref="U122" si="204">SUM(U110:U121)</f>
        <v>52452.01</v>
      </c>
    </row>
    <row r="123" spans="1:21" x14ac:dyDescent="0.25">
      <c r="A123" s="147">
        <v>46753</v>
      </c>
      <c r="B123" s="113">
        <f t="shared" ref="B123" si="205">B110</f>
        <v>2418661.34</v>
      </c>
      <c r="C123" s="96">
        <f t="shared" ref="C123:C134" si="206">B123*J123/100</f>
        <v>483732.27</v>
      </c>
      <c r="D123" s="97">
        <f t="shared" ref="D123:D134" si="207">C123+B123</f>
        <v>2902393.61</v>
      </c>
      <c r="E123" s="113">
        <f>H123-B123</f>
        <v>3214813.24</v>
      </c>
      <c r="F123" s="96">
        <f>E123*J123/100</f>
        <v>642962.65</v>
      </c>
      <c r="G123" s="97">
        <f>F123+E123</f>
        <v>3857775.89</v>
      </c>
      <c r="H123" s="108">
        <f>H135/12</f>
        <v>5633474.5800000001</v>
      </c>
      <c r="I123" s="96">
        <f>F123+C123</f>
        <v>1126694.92</v>
      </c>
      <c r="J123" s="214">
        <v>20</v>
      </c>
      <c r="K123" s="97">
        <f>I123+H123</f>
        <v>6760169.5</v>
      </c>
      <c r="L123" s="97">
        <f>L122-SUM(K119:K121)</f>
        <v>482935751.23000002</v>
      </c>
      <c r="M123" s="97"/>
      <c r="N123" s="113">
        <f>$I123*имущество!$F$3/имущество!$F$11</f>
        <v>375815.89</v>
      </c>
      <c r="O123" s="96">
        <f>$I123*имущество!$F$4/имущество!$F$11</f>
        <v>363961.4</v>
      </c>
      <c r="P123" s="96">
        <f>$I123*имущество!$F$5/имущество!$F$11</f>
        <v>351501.63</v>
      </c>
      <c r="Q123" s="96">
        <f>$I123*имущество!$F$6/имущество!$F$11</f>
        <v>3404.37</v>
      </c>
      <c r="R123" s="96">
        <f>$I123*имущество!$F$7/имущество!$F$11</f>
        <v>3404.37</v>
      </c>
      <c r="S123" s="96">
        <f>$I123*имущество!$F$8/имущество!$F$11</f>
        <v>3404.37</v>
      </c>
      <c r="T123" s="96">
        <f>$I123*имущество!$F$9/имущество!$F$11</f>
        <v>20656.919999999998</v>
      </c>
      <c r="U123" s="97">
        <f t="shared" ref="U123:U134" si="208">I123-SUM(N123:T123)</f>
        <v>4545.97</v>
      </c>
    </row>
    <row r="124" spans="1:21" x14ac:dyDescent="0.25">
      <c r="A124" s="149">
        <v>46784</v>
      </c>
      <c r="B124" s="116">
        <f t="shared" ref="B124:B134" si="209">B123</f>
        <v>2418661.34</v>
      </c>
      <c r="C124" s="95">
        <f t="shared" si="206"/>
        <v>483732.27</v>
      </c>
      <c r="D124" s="98">
        <f t="shared" si="207"/>
        <v>2902393.61</v>
      </c>
      <c r="E124" s="116">
        <f t="shared" ref="E124:E134" si="210">H124-B124</f>
        <v>3214813.24</v>
      </c>
      <c r="F124" s="95">
        <f t="shared" ref="F124:F134" si="211">E124*J124/100</f>
        <v>642962.65</v>
      </c>
      <c r="G124" s="98">
        <f t="shared" ref="G124:G134" si="212">F124+E124</f>
        <v>3857775.89</v>
      </c>
      <c r="H124" s="111">
        <f>H123</f>
        <v>5633474.5800000001</v>
      </c>
      <c r="I124" s="95">
        <f t="shared" ref="I124:I134" si="213">F124+C124</f>
        <v>1126694.92</v>
      </c>
      <c r="J124" s="217">
        <v>20</v>
      </c>
      <c r="K124" s="98">
        <f t="shared" ref="K124:K134" si="214">I124+H124</f>
        <v>6760169.5</v>
      </c>
      <c r="L124" s="98">
        <f>L123</f>
        <v>482935751.23000002</v>
      </c>
      <c r="M124" s="98"/>
      <c r="N124" s="116">
        <f>$I124*имущество!$F$3/имущество!$F$11</f>
        <v>375815.89</v>
      </c>
      <c r="O124" s="95">
        <f>$I124*имущество!$F$4/имущество!$F$11</f>
        <v>363961.4</v>
      </c>
      <c r="P124" s="95">
        <f>$I124*имущество!$F$5/имущество!$F$11</f>
        <v>351501.63</v>
      </c>
      <c r="Q124" s="95">
        <f>$I124*имущество!$F$6/имущество!$F$11</f>
        <v>3404.37</v>
      </c>
      <c r="R124" s="95">
        <f>$I124*имущество!$F$7/имущество!$F$11</f>
        <v>3404.37</v>
      </c>
      <c r="S124" s="95">
        <f>$I124*имущество!$F$8/имущество!$F$11</f>
        <v>3404.37</v>
      </c>
      <c r="T124" s="95">
        <f>$I124*имущество!$F$9/имущество!$F$11</f>
        <v>20656.919999999998</v>
      </c>
      <c r="U124" s="98">
        <f t="shared" si="208"/>
        <v>4545.97</v>
      </c>
    </row>
    <row r="125" spans="1:21" x14ac:dyDescent="0.25">
      <c r="A125" s="149">
        <v>46813</v>
      </c>
      <c r="B125" s="116">
        <f t="shared" si="209"/>
        <v>2418661.34</v>
      </c>
      <c r="C125" s="95">
        <f t="shared" si="206"/>
        <v>483732.27</v>
      </c>
      <c r="D125" s="98">
        <f t="shared" si="207"/>
        <v>2902393.61</v>
      </c>
      <c r="E125" s="116">
        <f t="shared" si="210"/>
        <v>3214813.24</v>
      </c>
      <c r="F125" s="95">
        <f t="shared" si="211"/>
        <v>642962.65</v>
      </c>
      <c r="G125" s="98">
        <f t="shared" si="212"/>
        <v>3857775.89</v>
      </c>
      <c r="H125" s="111">
        <f t="shared" ref="H125:H133" si="215">H124</f>
        <v>5633474.5800000001</v>
      </c>
      <c r="I125" s="95">
        <f t="shared" si="213"/>
        <v>1126694.92</v>
      </c>
      <c r="J125" s="217">
        <v>20</v>
      </c>
      <c r="K125" s="98">
        <f t="shared" si="214"/>
        <v>6760169.5</v>
      </c>
      <c r="L125" s="98">
        <f>L124</f>
        <v>482935751.23000002</v>
      </c>
      <c r="M125" s="98"/>
      <c r="N125" s="116">
        <f>$I125*имущество!$F$3/имущество!$F$11</f>
        <v>375815.89</v>
      </c>
      <c r="O125" s="95">
        <f>$I125*имущество!$F$4/имущество!$F$11</f>
        <v>363961.4</v>
      </c>
      <c r="P125" s="95">
        <f>$I125*имущество!$F$5/имущество!$F$11</f>
        <v>351501.63</v>
      </c>
      <c r="Q125" s="95">
        <f>$I125*имущество!$F$6/имущество!$F$11</f>
        <v>3404.37</v>
      </c>
      <c r="R125" s="95">
        <f>$I125*имущество!$F$7/имущество!$F$11</f>
        <v>3404.37</v>
      </c>
      <c r="S125" s="95">
        <f>$I125*имущество!$F$8/имущество!$F$11</f>
        <v>3404.37</v>
      </c>
      <c r="T125" s="95">
        <f>$I125*имущество!$F$9/имущество!$F$11</f>
        <v>20656.919999999998</v>
      </c>
      <c r="U125" s="98">
        <f t="shared" si="208"/>
        <v>4545.97</v>
      </c>
    </row>
    <row r="126" spans="1:21" x14ac:dyDescent="0.25">
      <c r="A126" s="149">
        <v>46844</v>
      </c>
      <c r="B126" s="116">
        <f t="shared" si="209"/>
        <v>2418661.34</v>
      </c>
      <c r="C126" s="95">
        <f t="shared" si="206"/>
        <v>483732.27</v>
      </c>
      <c r="D126" s="98">
        <f t="shared" si="207"/>
        <v>2902393.61</v>
      </c>
      <c r="E126" s="116">
        <f t="shared" si="210"/>
        <v>3214813.24</v>
      </c>
      <c r="F126" s="95">
        <f t="shared" si="211"/>
        <v>642962.65</v>
      </c>
      <c r="G126" s="98">
        <f t="shared" si="212"/>
        <v>3857775.89</v>
      </c>
      <c r="H126" s="111">
        <f t="shared" si="215"/>
        <v>5633474.5800000001</v>
      </c>
      <c r="I126" s="95">
        <f t="shared" si="213"/>
        <v>1126694.92</v>
      </c>
      <c r="J126" s="217">
        <v>20</v>
      </c>
      <c r="K126" s="98">
        <f t="shared" si="214"/>
        <v>6760169.5</v>
      </c>
      <c r="L126" s="98">
        <f>L125-SUM(K123:K125)</f>
        <v>462655242.73000002</v>
      </c>
      <c r="M126" s="98"/>
      <c r="N126" s="116">
        <f>$I126*имущество!$F$3/имущество!$F$11</f>
        <v>375815.89</v>
      </c>
      <c r="O126" s="95">
        <f>$I126*имущество!$F$4/имущество!$F$11</f>
        <v>363961.4</v>
      </c>
      <c r="P126" s="95">
        <f>$I126*имущество!$F$5/имущество!$F$11</f>
        <v>351501.63</v>
      </c>
      <c r="Q126" s="95">
        <f>$I126*имущество!$F$6/имущество!$F$11</f>
        <v>3404.37</v>
      </c>
      <c r="R126" s="95">
        <f>$I126*имущество!$F$7/имущество!$F$11</f>
        <v>3404.37</v>
      </c>
      <c r="S126" s="95">
        <f>$I126*имущество!$F$8/имущество!$F$11</f>
        <v>3404.37</v>
      </c>
      <c r="T126" s="95">
        <f>$I126*имущество!$F$9/имущество!$F$11</f>
        <v>20656.919999999998</v>
      </c>
      <c r="U126" s="98">
        <f t="shared" si="208"/>
        <v>4545.97</v>
      </c>
    </row>
    <row r="127" spans="1:21" x14ac:dyDescent="0.25">
      <c r="A127" s="149">
        <v>46874</v>
      </c>
      <c r="B127" s="116">
        <f t="shared" si="209"/>
        <v>2418661.34</v>
      </c>
      <c r="C127" s="95">
        <f t="shared" si="206"/>
        <v>483732.27</v>
      </c>
      <c r="D127" s="98">
        <f t="shared" si="207"/>
        <v>2902393.61</v>
      </c>
      <c r="E127" s="116">
        <f t="shared" si="210"/>
        <v>3214813.24</v>
      </c>
      <c r="F127" s="95">
        <f t="shared" si="211"/>
        <v>642962.65</v>
      </c>
      <c r="G127" s="98">
        <f t="shared" si="212"/>
        <v>3857775.89</v>
      </c>
      <c r="H127" s="111">
        <f t="shared" si="215"/>
        <v>5633474.5800000001</v>
      </c>
      <c r="I127" s="95">
        <f t="shared" si="213"/>
        <v>1126694.92</v>
      </c>
      <c r="J127" s="217">
        <v>20</v>
      </c>
      <c r="K127" s="98">
        <f t="shared" si="214"/>
        <v>6760169.5</v>
      </c>
      <c r="L127" s="98">
        <f>L126</f>
        <v>462655242.73000002</v>
      </c>
      <c r="M127" s="98"/>
      <c r="N127" s="116">
        <f>$I127*имущество!$F$3/имущество!$F$11</f>
        <v>375815.89</v>
      </c>
      <c r="O127" s="95">
        <f>$I127*имущество!$F$4/имущество!$F$11</f>
        <v>363961.4</v>
      </c>
      <c r="P127" s="95">
        <f>$I127*имущество!$F$5/имущество!$F$11</f>
        <v>351501.63</v>
      </c>
      <c r="Q127" s="95">
        <f>$I127*имущество!$F$6/имущество!$F$11</f>
        <v>3404.37</v>
      </c>
      <c r="R127" s="95">
        <f>$I127*имущество!$F$7/имущество!$F$11</f>
        <v>3404.37</v>
      </c>
      <c r="S127" s="95">
        <f>$I127*имущество!$F$8/имущество!$F$11</f>
        <v>3404.37</v>
      </c>
      <c r="T127" s="95">
        <f>$I127*имущество!$F$9/имущество!$F$11</f>
        <v>20656.919999999998</v>
      </c>
      <c r="U127" s="98">
        <f t="shared" si="208"/>
        <v>4545.97</v>
      </c>
    </row>
    <row r="128" spans="1:21" x14ac:dyDescent="0.25">
      <c r="A128" s="149">
        <v>46905</v>
      </c>
      <c r="B128" s="116">
        <f t="shared" si="209"/>
        <v>2418661.34</v>
      </c>
      <c r="C128" s="95">
        <f t="shared" si="206"/>
        <v>483732.27</v>
      </c>
      <c r="D128" s="98">
        <f t="shared" si="207"/>
        <v>2902393.61</v>
      </c>
      <c r="E128" s="116">
        <f t="shared" si="210"/>
        <v>3214813.24</v>
      </c>
      <c r="F128" s="95">
        <f t="shared" si="211"/>
        <v>642962.65</v>
      </c>
      <c r="G128" s="98">
        <f t="shared" si="212"/>
        <v>3857775.89</v>
      </c>
      <c r="H128" s="111">
        <f t="shared" si="215"/>
        <v>5633474.5800000001</v>
      </c>
      <c r="I128" s="95">
        <f t="shared" si="213"/>
        <v>1126694.92</v>
      </c>
      <c r="J128" s="217">
        <v>20</v>
      </c>
      <c r="K128" s="98">
        <f t="shared" si="214"/>
        <v>6760169.5</v>
      </c>
      <c r="L128" s="98">
        <f>L127</f>
        <v>462655242.73000002</v>
      </c>
      <c r="M128" s="98"/>
      <c r="N128" s="116">
        <f>$I128*имущество!$F$3/имущество!$F$11</f>
        <v>375815.89</v>
      </c>
      <c r="O128" s="95">
        <f>$I128*имущество!$F$4/имущество!$F$11</f>
        <v>363961.4</v>
      </c>
      <c r="P128" s="95">
        <f>$I128*имущество!$F$5/имущество!$F$11</f>
        <v>351501.63</v>
      </c>
      <c r="Q128" s="95">
        <f>$I128*имущество!$F$6/имущество!$F$11</f>
        <v>3404.37</v>
      </c>
      <c r="R128" s="95">
        <f>$I128*имущество!$F$7/имущество!$F$11</f>
        <v>3404.37</v>
      </c>
      <c r="S128" s="95">
        <f>$I128*имущество!$F$8/имущество!$F$11</f>
        <v>3404.37</v>
      </c>
      <c r="T128" s="95">
        <f>$I128*имущество!$F$9/имущество!$F$11</f>
        <v>20656.919999999998</v>
      </c>
      <c r="U128" s="98">
        <f t="shared" si="208"/>
        <v>4545.97</v>
      </c>
    </row>
    <row r="129" spans="1:21" x14ac:dyDescent="0.25">
      <c r="A129" s="149">
        <v>46935</v>
      </c>
      <c r="B129" s="116">
        <f t="shared" si="209"/>
        <v>2418661.34</v>
      </c>
      <c r="C129" s="95">
        <f t="shared" si="206"/>
        <v>483732.27</v>
      </c>
      <c r="D129" s="98">
        <f t="shared" si="207"/>
        <v>2902393.61</v>
      </c>
      <c r="E129" s="116">
        <f t="shared" si="210"/>
        <v>3214813.24</v>
      </c>
      <c r="F129" s="95">
        <f t="shared" si="211"/>
        <v>642962.65</v>
      </c>
      <c r="G129" s="98">
        <f t="shared" si="212"/>
        <v>3857775.89</v>
      </c>
      <c r="H129" s="111">
        <f t="shared" si="215"/>
        <v>5633474.5800000001</v>
      </c>
      <c r="I129" s="95">
        <f t="shared" si="213"/>
        <v>1126694.92</v>
      </c>
      <c r="J129" s="217">
        <v>20</v>
      </c>
      <c r="K129" s="98">
        <f t="shared" si="214"/>
        <v>6760169.5</v>
      </c>
      <c r="L129" s="98">
        <f>L128-SUM(K126:K128)</f>
        <v>442374734.23000002</v>
      </c>
      <c r="M129" s="98"/>
      <c r="N129" s="116">
        <f>$I129*имущество!$F$3/имущество!$F$11</f>
        <v>375815.89</v>
      </c>
      <c r="O129" s="95">
        <f>$I129*имущество!$F$4/имущество!$F$11</f>
        <v>363961.4</v>
      </c>
      <c r="P129" s="95">
        <f>$I129*имущество!$F$5/имущество!$F$11</f>
        <v>351501.63</v>
      </c>
      <c r="Q129" s="95">
        <f>$I129*имущество!$F$6/имущество!$F$11</f>
        <v>3404.37</v>
      </c>
      <c r="R129" s="95">
        <f>$I129*имущество!$F$7/имущество!$F$11</f>
        <v>3404.37</v>
      </c>
      <c r="S129" s="95">
        <f>$I129*имущество!$F$8/имущество!$F$11</f>
        <v>3404.37</v>
      </c>
      <c r="T129" s="95">
        <f>$I129*имущество!$F$9/имущество!$F$11</f>
        <v>20656.919999999998</v>
      </c>
      <c r="U129" s="98">
        <f t="shared" si="208"/>
        <v>4545.97</v>
      </c>
    </row>
    <row r="130" spans="1:21" x14ac:dyDescent="0.25">
      <c r="A130" s="149">
        <v>46966</v>
      </c>
      <c r="B130" s="116">
        <f t="shared" si="209"/>
        <v>2418661.34</v>
      </c>
      <c r="C130" s="95">
        <f t="shared" si="206"/>
        <v>483732.27</v>
      </c>
      <c r="D130" s="98">
        <f t="shared" si="207"/>
        <v>2902393.61</v>
      </c>
      <c r="E130" s="116">
        <f t="shared" si="210"/>
        <v>3214813.24</v>
      </c>
      <c r="F130" s="95">
        <f t="shared" si="211"/>
        <v>642962.65</v>
      </c>
      <c r="G130" s="98">
        <f t="shared" si="212"/>
        <v>3857775.89</v>
      </c>
      <c r="H130" s="111">
        <f t="shared" si="215"/>
        <v>5633474.5800000001</v>
      </c>
      <c r="I130" s="95">
        <f t="shared" si="213"/>
        <v>1126694.92</v>
      </c>
      <c r="J130" s="217">
        <v>20</v>
      </c>
      <c r="K130" s="98">
        <f t="shared" si="214"/>
        <v>6760169.5</v>
      </c>
      <c r="L130" s="98">
        <f>L129</f>
        <v>442374734.23000002</v>
      </c>
      <c r="M130" s="98"/>
      <c r="N130" s="116">
        <f>$I130*имущество!$F$3/имущество!$F$11</f>
        <v>375815.89</v>
      </c>
      <c r="O130" s="95">
        <f>$I130*имущество!$F$4/имущество!$F$11</f>
        <v>363961.4</v>
      </c>
      <c r="P130" s="95">
        <f>$I130*имущество!$F$5/имущество!$F$11</f>
        <v>351501.63</v>
      </c>
      <c r="Q130" s="95">
        <f>$I130*имущество!$F$6/имущество!$F$11</f>
        <v>3404.37</v>
      </c>
      <c r="R130" s="95">
        <f>$I130*имущество!$F$7/имущество!$F$11</f>
        <v>3404.37</v>
      </c>
      <c r="S130" s="95">
        <f>$I130*имущество!$F$8/имущество!$F$11</f>
        <v>3404.37</v>
      </c>
      <c r="T130" s="95">
        <f>$I130*имущество!$F$9/имущество!$F$11</f>
        <v>20656.919999999998</v>
      </c>
      <c r="U130" s="98">
        <f t="shared" si="208"/>
        <v>4545.97</v>
      </c>
    </row>
    <row r="131" spans="1:21" x14ac:dyDescent="0.25">
      <c r="A131" s="149">
        <v>46997</v>
      </c>
      <c r="B131" s="116">
        <f t="shared" si="209"/>
        <v>2418661.34</v>
      </c>
      <c r="C131" s="95">
        <f t="shared" si="206"/>
        <v>483732.27</v>
      </c>
      <c r="D131" s="98">
        <f t="shared" si="207"/>
        <v>2902393.61</v>
      </c>
      <c r="E131" s="116">
        <f t="shared" si="210"/>
        <v>3214813.24</v>
      </c>
      <c r="F131" s="95">
        <f t="shared" si="211"/>
        <v>642962.65</v>
      </c>
      <c r="G131" s="98">
        <f t="shared" si="212"/>
        <v>3857775.89</v>
      </c>
      <c r="H131" s="111">
        <f t="shared" si="215"/>
        <v>5633474.5800000001</v>
      </c>
      <c r="I131" s="95">
        <f t="shared" si="213"/>
        <v>1126694.92</v>
      </c>
      <c r="J131" s="217">
        <v>20</v>
      </c>
      <c r="K131" s="98">
        <f t="shared" si="214"/>
        <v>6760169.5</v>
      </c>
      <c r="L131" s="98">
        <f>L130</f>
        <v>442374734.23000002</v>
      </c>
      <c r="M131" s="98"/>
      <c r="N131" s="116">
        <f>$I131*имущество!$F$3/имущество!$F$11</f>
        <v>375815.89</v>
      </c>
      <c r="O131" s="95">
        <f>$I131*имущество!$F$4/имущество!$F$11</f>
        <v>363961.4</v>
      </c>
      <c r="P131" s="95">
        <f>$I131*имущество!$F$5/имущество!$F$11</f>
        <v>351501.63</v>
      </c>
      <c r="Q131" s="95">
        <f>$I131*имущество!$F$6/имущество!$F$11</f>
        <v>3404.37</v>
      </c>
      <c r="R131" s="95">
        <f>$I131*имущество!$F$7/имущество!$F$11</f>
        <v>3404.37</v>
      </c>
      <c r="S131" s="95">
        <f>$I131*имущество!$F$8/имущество!$F$11</f>
        <v>3404.37</v>
      </c>
      <c r="T131" s="95">
        <f>$I131*имущество!$F$9/имущество!$F$11</f>
        <v>20656.919999999998</v>
      </c>
      <c r="U131" s="98">
        <f t="shared" si="208"/>
        <v>4545.97</v>
      </c>
    </row>
    <row r="132" spans="1:21" x14ac:dyDescent="0.25">
      <c r="A132" s="149">
        <v>47027</v>
      </c>
      <c r="B132" s="116">
        <f t="shared" si="209"/>
        <v>2418661.34</v>
      </c>
      <c r="C132" s="95">
        <f t="shared" si="206"/>
        <v>483732.27</v>
      </c>
      <c r="D132" s="98">
        <f t="shared" si="207"/>
        <v>2902393.61</v>
      </c>
      <c r="E132" s="116">
        <f t="shared" si="210"/>
        <v>3214813.24</v>
      </c>
      <c r="F132" s="95">
        <f t="shared" si="211"/>
        <v>642962.65</v>
      </c>
      <c r="G132" s="98">
        <f t="shared" si="212"/>
        <v>3857775.89</v>
      </c>
      <c r="H132" s="111">
        <f t="shared" si="215"/>
        <v>5633474.5800000001</v>
      </c>
      <c r="I132" s="95">
        <f t="shared" si="213"/>
        <v>1126694.92</v>
      </c>
      <c r="J132" s="217">
        <v>20</v>
      </c>
      <c r="K132" s="98">
        <f t="shared" si="214"/>
        <v>6760169.5</v>
      </c>
      <c r="L132" s="98">
        <f>L131-SUM(K129:K131)</f>
        <v>422094225.73000002</v>
      </c>
      <c r="M132" s="98"/>
      <c r="N132" s="116">
        <f>$I132*имущество!$F$3/имущество!$F$11</f>
        <v>375815.89</v>
      </c>
      <c r="O132" s="95">
        <f>$I132*имущество!$F$4/имущество!$F$11</f>
        <v>363961.4</v>
      </c>
      <c r="P132" s="95">
        <f>$I132*имущество!$F$5/имущество!$F$11</f>
        <v>351501.63</v>
      </c>
      <c r="Q132" s="95">
        <f>$I132*имущество!$F$6/имущество!$F$11</f>
        <v>3404.37</v>
      </c>
      <c r="R132" s="95">
        <f>$I132*имущество!$F$7/имущество!$F$11</f>
        <v>3404.37</v>
      </c>
      <c r="S132" s="95">
        <f>$I132*имущество!$F$8/имущество!$F$11</f>
        <v>3404.37</v>
      </c>
      <c r="T132" s="95">
        <f>$I132*имущество!$F$9/имущество!$F$11</f>
        <v>20656.919999999998</v>
      </c>
      <c r="U132" s="98">
        <f t="shared" si="208"/>
        <v>4545.97</v>
      </c>
    </row>
    <row r="133" spans="1:21" x14ac:dyDescent="0.25">
      <c r="A133" s="149">
        <v>47058</v>
      </c>
      <c r="B133" s="116">
        <f t="shared" si="209"/>
        <v>2418661.34</v>
      </c>
      <c r="C133" s="95">
        <f t="shared" si="206"/>
        <v>483732.27</v>
      </c>
      <c r="D133" s="98">
        <f t="shared" si="207"/>
        <v>2902393.61</v>
      </c>
      <c r="E133" s="116">
        <f t="shared" si="210"/>
        <v>3214813.24</v>
      </c>
      <c r="F133" s="95">
        <f t="shared" si="211"/>
        <v>642962.65</v>
      </c>
      <c r="G133" s="98">
        <f t="shared" si="212"/>
        <v>3857775.89</v>
      </c>
      <c r="H133" s="111">
        <f t="shared" si="215"/>
        <v>5633474.5800000001</v>
      </c>
      <c r="I133" s="95">
        <f t="shared" si="213"/>
        <v>1126694.92</v>
      </c>
      <c r="J133" s="217">
        <v>20</v>
      </c>
      <c r="K133" s="98">
        <f t="shared" si="214"/>
        <v>6760169.5</v>
      </c>
      <c r="L133" s="98">
        <f>L132</f>
        <v>422094225.73000002</v>
      </c>
      <c r="M133" s="98"/>
      <c r="N133" s="116">
        <f>$I133*имущество!$F$3/имущество!$F$11</f>
        <v>375815.89</v>
      </c>
      <c r="O133" s="95">
        <f>$I133*имущество!$F$4/имущество!$F$11</f>
        <v>363961.4</v>
      </c>
      <c r="P133" s="95">
        <f>$I133*имущество!$F$5/имущество!$F$11</f>
        <v>351501.63</v>
      </c>
      <c r="Q133" s="95">
        <f>$I133*имущество!$F$6/имущество!$F$11</f>
        <v>3404.37</v>
      </c>
      <c r="R133" s="95">
        <f>$I133*имущество!$F$7/имущество!$F$11</f>
        <v>3404.37</v>
      </c>
      <c r="S133" s="95">
        <f>$I133*имущество!$F$8/имущество!$F$11</f>
        <v>3404.37</v>
      </c>
      <c r="T133" s="95">
        <f>$I133*имущество!$F$9/имущество!$F$11</f>
        <v>20656.919999999998</v>
      </c>
      <c r="U133" s="98">
        <f t="shared" si="208"/>
        <v>4545.97</v>
      </c>
    </row>
    <row r="134" spans="1:21" ht="18.75" thickBot="1" x14ac:dyDescent="0.3">
      <c r="A134" s="148">
        <v>47088</v>
      </c>
      <c r="B134" s="114">
        <f t="shared" si="209"/>
        <v>2418661.34</v>
      </c>
      <c r="C134" s="102">
        <f t="shared" si="206"/>
        <v>483732.27</v>
      </c>
      <c r="D134" s="103">
        <f t="shared" si="207"/>
        <v>2902393.61</v>
      </c>
      <c r="E134" s="114">
        <f t="shared" si="210"/>
        <v>3214813.2</v>
      </c>
      <c r="F134" s="102">
        <f t="shared" si="211"/>
        <v>642962.64</v>
      </c>
      <c r="G134" s="103">
        <f t="shared" si="212"/>
        <v>3857775.84</v>
      </c>
      <c r="H134" s="109">
        <f>H135-SUM(H123:H133)</f>
        <v>5633474.54</v>
      </c>
      <c r="I134" s="102">
        <f t="shared" si="213"/>
        <v>1126694.9099999999</v>
      </c>
      <c r="J134" s="215">
        <v>20</v>
      </c>
      <c r="K134" s="103">
        <f t="shared" si="214"/>
        <v>6760169.4500000002</v>
      </c>
      <c r="L134" s="103">
        <f>L133</f>
        <v>422094225.73000002</v>
      </c>
      <c r="M134" s="103"/>
      <c r="N134" s="114">
        <f>$I134*имущество!$F$3/имущество!$F$11</f>
        <v>375815.89</v>
      </c>
      <c r="O134" s="102">
        <f>$I134*имущество!$F$4/имущество!$F$11</f>
        <v>363961.4</v>
      </c>
      <c r="P134" s="102">
        <f>$I134*имущество!$F$5/имущество!$F$11</f>
        <v>351501.63</v>
      </c>
      <c r="Q134" s="102">
        <f>$I134*имущество!$F$6/имущество!$F$11</f>
        <v>3404.37</v>
      </c>
      <c r="R134" s="102">
        <f>$I134*имущество!$F$7/имущество!$F$11</f>
        <v>3404.37</v>
      </c>
      <c r="S134" s="102">
        <f>$I134*имущество!$F$8/имущество!$F$11</f>
        <v>3404.37</v>
      </c>
      <c r="T134" s="102">
        <f>$I134*имущество!$F$9/имущество!$F$11</f>
        <v>20656.919999999998</v>
      </c>
      <c r="U134" s="103">
        <f t="shared" si="208"/>
        <v>4545.96</v>
      </c>
    </row>
    <row r="135" spans="1:21" s="117" customFormat="1" ht="18.75" thickBot="1" x14ac:dyDescent="0.3">
      <c r="A135" s="106">
        <f>A122+1</f>
        <v>2028</v>
      </c>
      <c r="B135" s="115">
        <f t="shared" ref="B135" si="216">SUM(B123:B134)</f>
        <v>29023936.079999998</v>
      </c>
      <c r="C135" s="104">
        <f t="shared" ref="C135" si="217">SUM(C123:C134)</f>
        <v>5804787.2400000002</v>
      </c>
      <c r="D135" s="105">
        <f t="shared" ref="D135" si="218">SUM(D123:D134)</f>
        <v>34828723.32</v>
      </c>
      <c r="E135" s="115">
        <f t="shared" ref="E135" si="219">SUM(E123:E134)</f>
        <v>38577758.840000004</v>
      </c>
      <c r="F135" s="104">
        <f t="shared" ref="F135" si="220">SUM(F123:F134)</f>
        <v>7715551.79</v>
      </c>
      <c r="G135" s="105">
        <f t="shared" ref="G135" si="221">SUM(G123:G134)</f>
        <v>46293310.630000003</v>
      </c>
      <c r="H135" s="110">
        <f>Лист2!E25</f>
        <v>67601694.920000002</v>
      </c>
      <c r="I135" s="104">
        <f t="shared" ref="I135" si="222">SUM(I123:I134)</f>
        <v>13520339.029999999</v>
      </c>
      <c r="J135" s="216">
        <v>20</v>
      </c>
      <c r="K135" s="105">
        <f t="shared" ref="K135" si="223">SUM(K123:K134)</f>
        <v>81122033.950000003</v>
      </c>
      <c r="L135" s="105">
        <f>L134</f>
        <v>422094225.73000002</v>
      </c>
      <c r="M135" s="105">
        <f>L148</f>
        <v>338562022.29000002</v>
      </c>
      <c r="N135" s="115">
        <f t="shared" ref="N135" si="224">SUM(N123:N134)</f>
        <v>4509790.68</v>
      </c>
      <c r="O135" s="104">
        <f t="shared" ref="O135" si="225">SUM(O123:O134)</f>
        <v>4367536.8</v>
      </c>
      <c r="P135" s="104">
        <f t="shared" ref="P135" si="226">SUM(P123:P134)</f>
        <v>4218019.5599999996</v>
      </c>
      <c r="Q135" s="104">
        <f t="shared" ref="Q135" si="227">SUM(Q123:Q134)</f>
        <v>40852.44</v>
      </c>
      <c r="R135" s="104">
        <f t="shared" ref="R135" si="228">SUM(R123:R134)</f>
        <v>40852.44</v>
      </c>
      <c r="S135" s="104">
        <f t="shared" ref="S135" si="229">SUM(S123:S134)</f>
        <v>40852.44</v>
      </c>
      <c r="T135" s="104">
        <f t="shared" ref="T135" si="230">SUM(T123:T134)</f>
        <v>247883.04</v>
      </c>
      <c r="U135" s="105">
        <f t="shared" ref="U135" si="231">SUM(U123:U134)</f>
        <v>54551.63</v>
      </c>
    </row>
    <row r="136" spans="1:21" x14ac:dyDescent="0.25">
      <c r="A136" s="147">
        <v>47119</v>
      </c>
      <c r="B136" s="113">
        <f t="shared" ref="B136" si="232">B123</f>
        <v>2418661.34</v>
      </c>
      <c r="C136" s="96">
        <f t="shared" ref="C136:C147" si="233">B136*J136/100</f>
        <v>483732.27</v>
      </c>
      <c r="D136" s="97">
        <f t="shared" ref="D136:D147" si="234">C136+B136</f>
        <v>2902393.61</v>
      </c>
      <c r="E136" s="113">
        <f>H136-B136</f>
        <v>3437977.08</v>
      </c>
      <c r="F136" s="96">
        <f>E136*J136/100</f>
        <v>687595.42</v>
      </c>
      <c r="G136" s="97">
        <f>F136+E136</f>
        <v>4125572.5</v>
      </c>
      <c r="H136" s="108">
        <f>H148/12</f>
        <v>5856638.4199999999</v>
      </c>
      <c r="I136" s="96">
        <f>F136+C136</f>
        <v>1171327.69</v>
      </c>
      <c r="J136" s="214">
        <v>20</v>
      </c>
      <c r="K136" s="97">
        <f>I136+H136</f>
        <v>7027966.1100000003</v>
      </c>
      <c r="L136" s="97">
        <f>L135-SUM(K132:K134)</f>
        <v>401813717.27999997</v>
      </c>
      <c r="M136" s="97"/>
      <c r="N136" s="113">
        <f>$I136*имущество!$F$3/имущество!$F$11</f>
        <v>390703.42</v>
      </c>
      <c r="O136" s="96">
        <f>$I136*имущество!$F$4/имущество!$F$11</f>
        <v>378379.33</v>
      </c>
      <c r="P136" s="96">
        <f>$I136*имущество!$F$5/имущество!$F$11</f>
        <v>365425.98</v>
      </c>
      <c r="Q136" s="96">
        <f>$I136*имущество!$F$6/имущество!$F$11</f>
        <v>3539.23</v>
      </c>
      <c r="R136" s="96">
        <f>$I136*имущество!$F$7/имущество!$F$11</f>
        <v>3539.23</v>
      </c>
      <c r="S136" s="96">
        <f>$I136*имущество!$F$8/имущество!$F$11</f>
        <v>3539.23</v>
      </c>
      <c r="T136" s="96">
        <f>$I136*имущество!$F$9/имущество!$F$11</f>
        <v>21475.22</v>
      </c>
      <c r="U136" s="97">
        <f t="shared" ref="U136:U147" si="235">I136-SUM(N136:T136)</f>
        <v>4726.05</v>
      </c>
    </row>
    <row r="137" spans="1:21" x14ac:dyDescent="0.25">
      <c r="A137" s="149">
        <v>47150</v>
      </c>
      <c r="B137" s="116">
        <f t="shared" ref="B137:B147" si="236">B136</f>
        <v>2418661.34</v>
      </c>
      <c r="C137" s="95">
        <f t="shared" si="233"/>
        <v>483732.27</v>
      </c>
      <c r="D137" s="98">
        <f t="shared" si="234"/>
        <v>2902393.61</v>
      </c>
      <c r="E137" s="116">
        <f t="shared" ref="E137:E147" si="237">H137-B137</f>
        <v>3437977.08</v>
      </c>
      <c r="F137" s="95">
        <f t="shared" ref="F137:F147" si="238">E137*J137/100</f>
        <v>687595.42</v>
      </c>
      <c r="G137" s="98">
        <f t="shared" ref="G137:G147" si="239">F137+E137</f>
        <v>4125572.5</v>
      </c>
      <c r="H137" s="111">
        <f>H136</f>
        <v>5856638.4199999999</v>
      </c>
      <c r="I137" s="95">
        <f t="shared" ref="I137:I147" si="240">F137+C137</f>
        <v>1171327.69</v>
      </c>
      <c r="J137" s="217">
        <v>20</v>
      </c>
      <c r="K137" s="98">
        <f t="shared" ref="K137:K147" si="241">I137+H137</f>
        <v>7027966.1100000003</v>
      </c>
      <c r="L137" s="98">
        <f>L136</f>
        <v>401813717.27999997</v>
      </c>
      <c r="M137" s="98"/>
      <c r="N137" s="116">
        <f>$I137*имущество!$F$3/имущество!$F$11</f>
        <v>390703.42</v>
      </c>
      <c r="O137" s="95">
        <f>$I137*имущество!$F$4/имущество!$F$11</f>
        <v>378379.33</v>
      </c>
      <c r="P137" s="95">
        <f>$I137*имущество!$F$5/имущество!$F$11</f>
        <v>365425.98</v>
      </c>
      <c r="Q137" s="95">
        <f>$I137*имущество!$F$6/имущество!$F$11</f>
        <v>3539.23</v>
      </c>
      <c r="R137" s="95">
        <f>$I137*имущество!$F$7/имущество!$F$11</f>
        <v>3539.23</v>
      </c>
      <c r="S137" s="95">
        <f>$I137*имущество!$F$8/имущество!$F$11</f>
        <v>3539.23</v>
      </c>
      <c r="T137" s="95">
        <f>$I137*имущество!$F$9/имущество!$F$11</f>
        <v>21475.22</v>
      </c>
      <c r="U137" s="98">
        <f t="shared" si="235"/>
        <v>4726.05</v>
      </c>
    </row>
    <row r="138" spans="1:21" x14ac:dyDescent="0.25">
      <c r="A138" s="149">
        <v>47178</v>
      </c>
      <c r="B138" s="116">
        <f t="shared" si="236"/>
        <v>2418661.34</v>
      </c>
      <c r="C138" s="95">
        <f t="shared" si="233"/>
        <v>483732.27</v>
      </c>
      <c r="D138" s="98">
        <f t="shared" si="234"/>
        <v>2902393.61</v>
      </c>
      <c r="E138" s="116">
        <f t="shared" si="237"/>
        <v>3437977.08</v>
      </c>
      <c r="F138" s="95">
        <f t="shared" si="238"/>
        <v>687595.42</v>
      </c>
      <c r="G138" s="98">
        <f t="shared" si="239"/>
        <v>4125572.5</v>
      </c>
      <c r="H138" s="111">
        <f t="shared" ref="H138:H146" si="242">H137</f>
        <v>5856638.4199999999</v>
      </c>
      <c r="I138" s="95">
        <f t="shared" si="240"/>
        <v>1171327.69</v>
      </c>
      <c r="J138" s="217">
        <v>20</v>
      </c>
      <c r="K138" s="98">
        <f t="shared" si="241"/>
        <v>7027966.1100000003</v>
      </c>
      <c r="L138" s="98">
        <f>L137</f>
        <v>401813717.27999997</v>
      </c>
      <c r="M138" s="98"/>
      <c r="N138" s="116">
        <f>$I138*имущество!$F$3/имущество!$F$11</f>
        <v>390703.42</v>
      </c>
      <c r="O138" s="95">
        <f>$I138*имущество!$F$4/имущество!$F$11</f>
        <v>378379.33</v>
      </c>
      <c r="P138" s="95">
        <f>$I138*имущество!$F$5/имущество!$F$11</f>
        <v>365425.98</v>
      </c>
      <c r="Q138" s="95">
        <f>$I138*имущество!$F$6/имущество!$F$11</f>
        <v>3539.23</v>
      </c>
      <c r="R138" s="95">
        <f>$I138*имущество!$F$7/имущество!$F$11</f>
        <v>3539.23</v>
      </c>
      <c r="S138" s="95">
        <f>$I138*имущество!$F$8/имущество!$F$11</f>
        <v>3539.23</v>
      </c>
      <c r="T138" s="95">
        <f>$I138*имущество!$F$9/имущество!$F$11</f>
        <v>21475.22</v>
      </c>
      <c r="U138" s="98">
        <f t="shared" si="235"/>
        <v>4726.05</v>
      </c>
    </row>
    <row r="139" spans="1:21" x14ac:dyDescent="0.25">
      <c r="A139" s="149">
        <v>47209</v>
      </c>
      <c r="B139" s="116">
        <f t="shared" si="236"/>
        <v>2418661.34</v>
      </c>
      <c r="C139" s="95">
        <f t="shared" si="233"/>
        <v>483732.27</v>
      </c>
      <c r="D139" s="98">
        <f t="shared" si="234"/>
        <v>2902393.61</v>
      </c>
      <c r="E139" s="116">
        <f t="shared" si="237"/>
        <v>3437977.08</v>
      </c>
      <c r="F139" s="95">
        <f t="shared" si="238"/>
        <v>687595.42</v>
      </c>
      <c r="G139" s="98">
        <f t="shared" si="239"/>
        <v>4125572.5</v>
      </c>
      <c r="H139" s="111">
        <f t="shared" si="242"/>
        <v>5856638.4199999999</v>
      </c>
      <c r="I139" s="95">
        <f t="shared" si="240"/>
        <v>1171327.69</v>
      </c>
      <c r="J139" s="217">
        <v>20</v>
      </c>
      <c r="K139" s="98">
        <f t="shared" si="241"/>
        <v>7027966.1100000003</v>
      </c>
      <c r="L139" s="98">
        <f>L138-SUM(K136:K138)</f>
        <v>380729818.94999999</v>
      </c>
      <c r="M139" s="98"/>
      <c r="N139" s="116">
        <f>$I139*имущество!$F$3/имущество!$F$11</f>
        <v>390703.42</v>
      </c>
      <c r="O139" s="95">
        <f>$I139*имущество!$F$4/имущество!$F$11</f>
        <v>378379.33</v>
      </c>
      <c r="P139" s="95">
        <f>$I139*имущество!$F$5/имущество!$F$11</f>
        <v>365425.98</v>
      </c>
      <c r="Q139" s="95">
        <f>$I139*имущество!$F$6/имущество!$F$11</f>
        <v>3539.23</v>
      </c>
      <c r="R139" s="95">
        <f>$I139*имущество!$F$7/имущество!$F$11</f>
        <v>3539.23</v>
      </c>
      <c r="S139" s="95">
        <f>$I139*имущество!$F$8/имущество!$F$11</f>
        <v>3539.23</v>
      </c>
      <c r="T139" s="95">
        <f>$I139*имущество!$F$9/имущество!$F$11</f>
        <v>21475.22</v>
      </c>
      <c r="U139" s="98">
        <f t="shared" si="235"/>
        <v>4726.05</v>
      </c>
    </row>
    <row r="140" spans="1:21" x14ac:dyDescent="0.25">
      <c r="A140" s="149">
        <v>47239</v>
      </c>
      <c r="B140" s="116">
        <f t="shared" si="236"/>
        <v>2418661.34</v>
      </c>
      <c r="C140" s="95">
        <f t="shared" si="233"/>
        <v>483732.27</v>
      </c>
      <c r="D140" s="98">
        <f t="shared" si="234"/>
        <v>2902393.61</v>
      </c>
      <c r="E140" s="116">
        <f t="shared" si="237"/>
        <v>3437977.08</v>
      </c>
      <c r="F140" s="95">
        <f t="shared" si="238"/>
        <v>687595.42</v>
      </c>
      <c r="G140" s="98">
        <f t="shared" si="239"/>
        <v>4125572.5</v>
      </c>
      <c r="H140" s="111">
        <f t="shared" si="242"/>
        <v>5856638.4199999999</v>
      </c>
      <c r="I140" s="95">
        <f t="shared" si="240"/>
        <v>1171327.69</v>
      </c>
      <c r="J140" s="217">
        <v>20</v>
      </c>
      <c r="K140" s="98">
        <f t="shared" si="241"/>
        <v>7027966.1100000003</v>
      </c>
      <c r="L140" s="98">
        <f>L139</f>
        <v>380729818.94999999</v>
      </c>
      <c r="M140" s="98"/>
      <c r="N140" s="116">
        <f>$I140*имущество!$F$3/имущество!$F$11</f>
        <v>390703.42</v>
      </c>
      <c r="O140" s="95">
        <f>$I140*имущество!$F$4/имущество!$F$11</f>
        <v>378379.33</v>
      </c>
      <c r="P140" s="95">
        <f>$I140*имущество!$F$5/имущество!$F$11</f>
        <v>365425.98</v>
      </c>
      <c r="Q140" s="95">
        <f>$I140*имущество!$F$6/имущество!$F$11</f>
        <v>3539.23</v>
      </c>
      <c r="R140" s="95">
        <f>$I140*имущество!$F$7/имущество!$F$11</f>
        <v>3539.23</v>
      </c>
      <c r="S140" s="95">
        <f>$I140*имущество!$F$8/имущество!$F$11</f>
        <v>3539.23</v>
      </c>
      <c r="T140" s="95">
        <f>$I140*имущество!$F$9/имущество!$F$11</f>
        <v>21475.22</v>
      </c>
      <c r="U140" s="98">
        <f t="shared" si="235"/>
        <v>4726.05</v>
      </c>
    </row>
    <row r="141" spans="1:21" x14ac:dyDescent="0.25">
      <c r="A141" s="149">
        <v>47270</v>
      </c>
      <c r="B141" s="116">
        <f t="shared" si="236"/>
        <v>2418661.34</v>
      </c>
      <c r="C141" s="95">
        <f t="shared" si="233"/>
        <v>483732.27</v>
      </c>
      <c r="D141" s="98">
        <f t="shared" si="234"/>
        <v>2902393.61</v>
      </c>
      <c r="E141" s="116">
        <f t="shared" si="237"/>
        <v>3437977.08</v>
      </c>
      <c r="F141" s="95">
        <f t="shared" si="238"/>
        <v>687595.42</v>
      </c>
      <c r="G141" s="98">
        <f t="shared" si="239"/>
        <v>4125572.5</v>
      </c>
      <c r="H141" s="111">
        <f t="shared" si="242"/>
        <v>5856638.4199999999</v>
      </c>
      <c r="I141" s="95">
        <f t="shared" si="240"/>
        <v>1171327.69</v>
      </c>
      <c r="J141" s="217">
        <v>20</v>
      </c>
      <c r="K141" s="98">
        <f t="shared" si="241"/>
        <v>7027966.1100000003</v>
      </c>
      <c r="L141" s="98">
        <f>L140</f>
        <v>380729818.94999999</v>
      </c>
      <c r="M141" s="98"/>
      <c r="N141" s="116">
        <f>$I141*имущество!$F$3/имущество!$F$11</f>
        <v>390703.42</v>
      </c>
      <c r="O141" s="95">
        <f>$I141*имущество!$F$4/имущество!$F$11</f>
        <v>378379.33</v>
      </c>
      <c r="P141" s="95">
        <f>$I141*имущество!$F$5/имущество!$F$11</f>
        <v>365425.98</v>
      </c>
      <c r="Q141" s="95">
        <f>$I141*имущество!$F$6/имущество!$F$11</f>
        <v>3539.23</v>
      </c>
      <c r="R141" s="95">
        <f>$I141*имущество!$F$7/имущество!$F$11</f>
        <v>3539.23</v>
      </c>
      <c r="S141" s="95">
        <f>$I141*имущество!$F$8/имущество!$F$11</f>
        <v>3539.23</v>
      </c>
      <c r="T141" s="95">
        <f>$I141*имущество!$F$9/имущество!$F$11</f>
        <v>21475.22</v>
      </c>
      <c r="U141" s="98">
        <f t="shared" si="235"/>
        <v>4726.05</v>
      </c>
    </row>
    <row r="142" spans="1:21" x14ac:dyDescent="0.25">
      <c r="A142" s="149">
        <v>47300</v>
      </c>
      <c r="B142" s="116">
        <f t="shared" si="236"/>
        <v>2418661.34</v>
      </c>
      <c r="C142" s="95">
        <f t="shared" si="233"/>
        <v>483732.27</v>
      </c>
      <c r="D142" s="98">
        <f t="shared" si="234"/>
        <v>2902393.61</v>
      </c>
      <c r="E142" s="116">
        <f t="shared" si="237"/>
        <v>3437977.08</v>
      </c>
      <c r="F142" s="95">
        <f t="shared" si="238"/>
        <v>687595.42</v>
      </c>
      <c r="G142" s="98">
        <f t="shared" si="239"/>
        <v>4125572.5</v>
      </c>
      <c r="H142" s="111">
        <f t="shared" si="242"/>
        <v>5856638.4199999999</v>
      </c>
      <c r="I142" s="95">
        <f t="shared" si="240"/>
        <v>1171327.69</v>
      </c>
      <c r="J142" s="217">
        <v>20</v>
      </c>
      <c r="K142" s="98">
        <f t="shared" si="241"/>
        <v>7027966.1100000003</v>
      </c>
      <c r="L142" s="98">
        <f>L141-SUM(K139:K141)</f>
        <v>359645920.62</v>
      </c>
      <c r="M142" s="98"/>
      <c r="N142" s="116">
        <f>$I142*имущество!$F$3/имущество!$F$11</f>
        <v>390703.42</v>
      </c>
      <c r="O142" s="95">
        <f>$I142*имущество!$F$4/имущество!$F$11</f>
        <v>378379.33</v>
      </c>
      <c r="P142" s="95">
        <f>$I142*имущество!$F$5/имущество!$F$11</f>
        <v>365425.98</v>
      </c>
      <c r="Q142" s="95">
        <f>$I142*имущество!$F$6/имущество!$F$11</f>
        <v>3539.23</v>
      </c>
      <c r="R142" s="95">
        <f>$I142*имущество!$F$7/имущество!$F$11</f>
        <v>3539.23</v>
      </c>
      <c r="S142" s="95">
        <f>$I142*имущество!$F$8/имущество!$F$11</f>
        <v>3539.23</v>
      </c>
      <c r="T142" s="95">
        <f>$I142*имущество!$F$9/имущество!$F$11</f>
        <v>21475.22</v>
      </c>
      <c r="U142" s="98">
        <f t="shared" si="235"/>
        <v>4726.05</v>
      </c>
    </row>
    <row r="143" spans="1:21" x14ac:dyDescent="0.25">
      <c r="A143" s="149">
        <v>47331</v>
      </c>
      <c r="B143" s="116">
        <f t="shared" si="236"/>
        <v>2418661.34</v>
      </c>
      <c r="C143" s="95">
        <f t="shared" si="233"/>
        <v>483732.27</v>
      </c>
      <c r="D143" s="98">
        <f t="shared" si="234"/>
        <v>2902393.61</v>
      </c>
      <c r="E143" s="116">
        <f t="shared" si="237"/>
        <v>3437977.08</v>
      </c>
      <c r="F143" s="95">
        <f t="shared" si="238"/>
        <v>687595.42</v>
      </c>
      <c r="G143" s="98">
        <f t="shared" si="239"/>
        <v>4125572.5</v>
      </c>
      <c r="H143" s="111">
        <f t="shared" si="242"/>
        <v>5856638.4199999999</v>
      </c>
      <c r="I143" s="95">
        <f t="shared" si="240"/>
        <v>1171327.69</v>
      </c>
      <c r="J143" s="217">
        <v>20</v>
      </c>
      <c r="K143" s="98">
        <f t="shared" si="241"/>
        <v>7027966.1100000003</v>
      </c>
      <c r="L143" s="98">
        <f>L142</f>
        <v>359645920.62</v>
      </c>
      <c r="M143" s="98"/>
      <c r="N143" s="116">
        <f>$I143*имущество!$F$3/имущество!$F$11</f>
        <v>390703.42</v>
      </c>
      <c r="O143" s="95">
        <f>$I143*имущество!$F$4/имущество!$F$11</f>
        <v>378379.33</v>
      </c>
      <c r="P143" s="95">
        <f>$I143*имущество!$F$5/имущество!$F$11</f>
        <v>365425.98</v>
      </c>
      <c r="Q143" s="95">
        <f>$I143*имущество!$F$6/имущество!$F$11</f>
        <v>3539.23</v>
      </c>
      <c r="R143" s="95">
        <f>$I143*имущество!$F$7/имущество!$F$11</f>
        <v>3539.23</v>
      </c>
      <c r="S143" s="95">
        <f>$I143*имущество!$F$8/имущество!$F$11</f>
        <v>3539.23</v>
      </c>
      <c r="T143" s="95">
        <f>$I143*имущество!$F$9/имущество!$F$11</f>
        <v>21475.22</v>
      </c>
      <c r="U143" s="98">
        <f t="shared" si="235"/>
        <v>4726.05</v>
      </c>
    </row>
    <row r="144" spans="1:21" x14ac:dyDescent="0.25">
      <c r="A144" s="149">
        <v>47362</v>
      </c>
      <c r="B144" s="116">
        <f t="shared" si="236"/>
        <v>2418661.34</v>
      </c>
      <c r="C144" s="95">
        <f t="shared" si="233"/>
        <v>483732.27</v>
      </c>
      <c r="D144" s="98">
        <f t="shared" si="234"/>
        <v>2902393.61</v>
      </c>
      <c r="E144" s="116">
        <f t="shared" si="237"/>
        <v>3437977.08</v>
      </c>
      <c r="F144" s="95">
        <f t="shared" si="238"/>
        <v>687595.42</v>
      </c>
      <c r="G144" s="98">
        <f t="shared" si="239"/>
        <v>4125572.5</v>
      </c>
      <c r="H144" s="111">
        <f t="shared" si="242"/>
        <v>5856638.4199999999</v>
      </c>
      <c r="I144" s="95">
        <f t="shared" si="240"/>
        <v>1171327.69</v>
      </c>
      <c r="J144" s="217">
        <v>20</v>
      </c>
      <c r="K144" s="98">
        <f t="shared" si="241"/>
        <v>7027966.1100000003</v>
      </c>
      <c r="L144" s="98">
        <f>L143</f>
        <v>359645920.62</v>
      </c>
      <c r="M144" s="98"/>
      <c r="N144" s="116">
        <f>$I144*имущество!$F$3/имущество!$F$11</f>
        <v>390703.42</v>
      </c>
      <c r="O144" s="95">
        <f>$I144*имущество!$F$4/имущество!$F$11</f>
        <v>378379.33</v>
      </c>
      <c r="P144" s="95">
        <f>$I144*имущество!$F$5/имущество!$F$11</f>
        <v>365425.98</v>
      </c>
      <c r="Q144" s="95">
        <f>$I144*имущество!$F$6/имущество!$F$11</f>
        <v>3539.23</v>
      </c>
      <c r="R144" s="95">
        <f>$I144*имущество!$F$7/имущество!$F$11</f>
        <v>3539.23</v>
      </c>
      <c r="S144" s="95">
        <f>$I144*имущество!$F$8/имущество!$F$11</f>
        <v>3539.23</v>
      </c>
      <c r="T144" s="95">
        <f>$I144*имущество!$F$9/имущество!$F$11</f>
        <v>21475.22</v>
      </c>
      <c r="U144" s="98">
        <f t="shared" si="235"/>
        <v>4726.05</v>
      </c>
    </row>
    <row r="145" spans="1:21" x14ac:dyDescent="0.25">
      <c r="A145" s="149">
        <v>47392</v>
      </c>
      <c r="B145" s="116">
        <f t="shared" si="236"/>
        <v>2418661.34</v>
      </c>
      <c r="C145" s="95">
        <f t="shared" si="233"/>
        <v>483732.27</v>
      </c>
      <c r="D145" s="98">
        <f t="shared" si="234"/>
        <v>2902393.61</v>
      </c>
      <c r="E145" s="116">
        <f t="shared" si="237"/>
        <v>3437977.08</v>
      </c>
      <c r="F145" s="95">
        <f t="shared" si="238"/>
        <v>687595.42</v>
      </c>
      <c r="G145" s="98">
        <f t="shared" si="239"/>
        <v>4125572.5</v>
      </c>
      <c r="H145" s="111">
        <f t="shared" si="242"/>
        <v>5856638.4199999999</v>
      </c>
      <c r="I145" s="95">
        <f t="shared" si="240"/>
        <v>1171327.69</v>
      </c>
      <c r="J145" s="217">
        <v>20</v>
      </c>
      <c r="K145" s="98">
        <f t="shared" si="241"/>
        <v>7027966.1100000003</v>
      </c>
      <c r="L145" s="98">
        <f>L144-SUM(K142:K144)</f>
        <v>338562022.29000002</v>
      </c>
      <c r="M145" s="98"/>
      <c r="N145" s="116">
        <f>$I145*имущество!$F$3/имущество!$F$11</f>
        <v>390703.42</v>
      </c>
      <c r="O145" s="95">
        <f>$I145*имущество!$F$4/имущество!$F$11</f>
        <v>378379.33</v>
      </c>
      <c r="P145" s="95">
        <f>$I145*имущество!$F$5/имущество!$F$11</f>
        <v>365425.98</v>
      </c>
      <c r="Q145" s="95">
        <f>$I145*имущество!$F$6/имущество!$F$11</f>
        <v>3539.23</v>
      </c>
      <c r="R145" s="95">
        <f>$I145*имущество!$F$7/имущество!$F$11</f>
        <v>3539.23</v>
      </c>
      <c r="S145" s="95">
        <f>$I145*имущество!$F$8/имущество!$F$11</f>
        <v>3539.23</v>
      </c>
      <c r="T145" s="95">
        <f>$I145*имущество!$F$9/имущество!$F$11</f>
        <v>21475.22</v>
      </c>
      <c r="U145" s="98">
        <f t="shared" si="235"/>
        <v>4726.05</v>
      </c>
    </row>
    <row r="146" spans="1:21" x14ac:dyDescent="0.25">
      <c r="A146" s="149">
        <v>47423</v>
      </c>
      <c r="B146" s="116">
        <f t="shared" si="236"/>
        <v>2418661.34</v>
      </c>
      <c r="C146" s="95">
        <f t="shared" si="233"/>
        <v>483732.27</v>
      </c>
      <c r="D146" s="98">
        <f t="shared" si="234"/>
        <v>2902393.61</v>
      </c>
      <c r="E146" s="116">
        <f t="shared" si="237"/>
        <v>3437977.08</v>
      </c>
      <c r="F146" s="95">
        <f t="shared" si="238"/>
        <v>687595.42</v>
      </c>
      <c r="G146" s="98">
        <f t="shared" si="239"/>
        <v>4125572.5</v>
      </c>
      <c r="H146" s="111">
        <f t="shared" si="242"/>
        <v>5856638.4199999999</v>
      </c>
      <c r="I146" s="95">
        <f t="shared" si="240"/>
        <v>1171327.69</v>
      </c>
      <c r="J146" s="217">
        <v>20</v>
      </c>
      <c r="K146" s="98">
        <f t="shared" si="241"/>
        <v>7027966.1100000003</v>
      </c>
      <c r="L146" s="98">
        <f>L145</f>
        <v>338562022.29000002</v>
      </c>
      <c r="M146" s="98"/>
      <c r="N146" s="116">
        <f>$I146*имущество!$F$3/имущество!$F$11</f>
        <v>390703.42</v>
      </c>
      <c r="O146" s="95">
        <f>$I146*имущество!$F$4/имущество!$F$11</f>
        <v>378379.33</v>
      </c>
      <c r="P146" s="95">
        <f>$I146*имущество!$F$5/имущество!$F$11</f>
        <v>365425.98</v>
      </c>
      <c r="Q146" s="95">
        <f>$I146*имущество!$F$6/имущество!$F$11</f>
        <v>3539.23</v>
      </c>
      <c r="R146" s="95">
        <f>$I146*имущество!$F$7/имущество!$F$11</f>
        <v>3539.23</v>
      </c>
      <c r="S146" s="95">
        <f>$I146*имущество!$F$8/имущество!$F$11</f>
        <v>3539.23</v>
      </c>
      <c r="T146" s="95">
        <f>$I146*имущество!$F$9/имущество!$F$11</f>
        <v>21475.22</v>
      </c>
      <c r="U146" s="98">
        <f t="shared" si="235"/>
        <v>4726.05</v>
      </c>
    </row>
    <row r="147" spans="1:21" ht="18.75" thickBot="1" x14ac:dyDescent="0.3">
      <c r="A147" s="148">
        <v>47453</v>
      </c>
      <c r="B147" s="114">
        <f t="shared" si="236"/>
        <v>2418661.34</v>
      </c>
      <c r="C147" s="102">
        <f t="shared" si="233"/>
        <v>483732.27</v>
      </c>
      <c r="D147" s="103">
        <f t="shared" si="234"/>
        <v>2902393.61</v>
      </c>
      <c r="E147" s="114">
        <f t="shared" si="237"/>
        <v>3437977.06</v>
      </c>
      <c r="F147" s="102">
        <f t="shared" si="238"/>
        <v>687595.41</v>
      </c>
      <c r="G147" s="103">
        <f t="shared" si="239"/>
        <v>4125572.47</v>
      </c>
      <c r="H147" s="109">
        <f>H148-SUM(H136:H146)</f>
        <v>5856638.4000000004</v>
      </c>
      <c r="I147" s="102">
        <f t="shared" si="240"/>
        <v>1171327.68</v>
      </c>
      <c r="J147" s="215">
        <v>20</v>
      </c>
      <c r="K147" s="103">
        <f t="shared" si="241"/>
        <v>7027966.0800000001</v>
      </c>
      <c r="L147" s="103">
        <f>L146</f>
        <v>338562022.29000002</v>
      </c>
      <c r="M147" s="103"/>
      <c r="N147" s="114">
        <f>$I147*имущество!$F$3/имущество!$F$11</f>
        <v>390703.42</v>
      </c>
      <c r="O147" s="102">
        <f>$I147*имущество!$F$4/имущество!$F$11</f>
        <v>378379.32</v>
      </c>
      <c r="P147" s="102">
        <f>$I147*имущество!$F$5/имущество!$F$11</f>
        <v>365425.98</v>
      </c>
      <c r="Q147" s="102">
        <f>$I147*имущество!$F$6/имущество!$F$11</f>
        <v>3539.23</v>
      </c>
      <c r="R147" s="102">
        <f>$I147*имущество!$F$7/имущество!$F$11</f>
        <v>3539.23</v>
      </c>
      <c r="S147" s="102">
        <f>$I147*имущество!$F$8/имущество!$F$11</f>
        <v>3539.23</v>
      </c>
      <c r="T147" s="102">
        <f>$I147*имущество!$F$9/имущество!$F$11</f>
        <v>21475.22</v>
      </c>
      <c r="U147" s="103">
        <f t="shared" si="235"/>
        <v>4726.05</v>
      </c>
    </row>
    <row r="148" spans="1:21" s="117" customFormat="1" ht="18.75" thickBot="1" x14ac:dyDescent="0.3">
      <c r="A148" s="106">
        <f>A135+1</f>
        <v>2029</v>
      </c>
      <c r="B148" s="115">
        <f t="shared" ref="B148" si="243">SUM(B136:B147)</f>
        <v>29023936.079999998</v>
      </c>
      <c r="C148" s="104">
        <f t="shared" ref="C148" si="244">SUM(C136:C147)</f>
        <v>5804787.2400000002</v>
      </c>
      <c r="D148" s="105">
        <f t="shared" ref="D148" si="245">SUM(D136:D147)</f>
        <v>34828723.32</v>
      </c>
      <c r="E148" s="115">
        <f t="shared" ref="E148" si="246">SUM(E136:E147)</f>
        <v>41255724.939999998</v>
      </c>
      <c r="F148" s="104">
        <f t="shared" ref="F148" si="247">SUM(F136:F147)</f>
        <v>8251145.0300000003</v>
      </c>
      <c r="G148" s="105">
        <f t="shared" ref="G148" si="248">SUM(G136:G147)</f>
        <v>49506869.969999999</v>
      </c>
      <c r="H148" s="110">
        <f>Лист2!E26</f>
        <v>70279661.019999996</v>
      </c>
      <c r="I148" s="104">
        <f t="shared" ref="I148" si="249">SUM(I136:I147)</f>
        <v>14055932.27</v>
      </c>
      <c r="J148" s="216">
        <v>20</v>
      </c>
      <c r="K148" s="105">
        <f t="shared" ref="K148" si="250">SUM(K136:K147)</f>
        <v>84335593.290000007</v>
      </c>
      <c r="L148" s="105">
        <f>L147</f>
        <v>338562022.29000002</v>
      </c>
      <c r="M148" s="105">
        <f>L161</f>
        <v>251747615.52000001</v>
      </c>
      <c r="N148" s="115">
        <f t="shared" ref="N148" si="251">SUM(N136:N147)</f>
        <v>4688441.04</v>
      </c>
      <c r="O148" s="104">
        <f t="shared" ref="O148" si="252">SUM(O136:O147)</f>
        <v>4540551.95</v>
      </c>
      <c r="P148" s="104">
        <f t="shared" ref="P148" si="253">SUM(P136:P147)</f>
        <v>4385111.76</v>
      </c>
      <c r="Q148" s="104">
        <f t="shared" ref="Q148" si="254">SUM(Q136:Q147)</f>
        <v>42470.76</v>
      </c>
      <c r="R148" s="104">
        <f t="shared" ref="R148" si="255">SUM(R136:R147)</f>
        <v>42470.76</v>
      </c>
      <c r="S148" s="104">
        <f t="shared" ref="S148" si="256">SUM(S136:S147)</f>
        <v>42470.76</v>
      </c>
      <c r="T148" s="104">
        <f t="shared" ref="T148" si="257">SUM(T136:T147)</f>
        <v>257702.64</v>
      </c>
      <c r="U148" s="105">
        <f t="shared" ref="U148" si="258">SUM(U136:U147)</f>
        <v>56712.6</v>
      </c>
    </row>
    <row r="149" spans="1:21" x14ac:dyDescent="0.25">
      <c r="A149" s="147">
        <v>10959</v>
      </c>
      <c r="B149" s="113">
        <f t="shared" ref="B149" si="259">B136</f>
        <v>2418661.34</v>
      </c>
      <c r="C149" s="96">
        <f t="shared" ref="C149:C160" si="260">B149*J149/100</f>
        <v>483732.27</v>
      </c>
      <c r="D149" s="97">
        <f t="shared" ref="D149:D160" si="261">C149+B149</f>
        <v>2902393.61</v>
      </c>
      <c r="E149" s="113">
        <f>H149-B149</f>
        <v>3667496.85</v>
      </c>
      <c r="F149" s="96">
        <f>E149*J149/100</f>
        <v>733499.37</v>
      </c>
      <c r="G149" s="97">
        <f>F149+E149</f>
        <v>4400996.22</v>
      </c>
      <c r="H149" s="108">
        <f>H161/12</f>
        <v>6086158.1900000004</v>
      </c>
      <c r="I149" s="96">
        <f>F149+C149</f>
        <v>1217231.6399999999</v>
      </c>
      <c r="J149" s="214">
        <v>20</v>
      </c>
      <c r="K149" s="97">
        <f>I149+H149</f>
        <v>7303389.8300000001</v>
      </c>
      <c r="L149" s="97">
        <f>L148-SUM(K145:K147)</f>
        <v>317478123.99000001</v>
      </c>
      <c r="M149" s="97"/>
      <c r="N149" s="113">
        <f>$I149*имущество!$F$3/имущество!$F$11</f>
        <v>406014.96</v>
      </c>
      <c r="O149" s="96">
        <f>$I149*имущество!$F$4/имущество!$F$11</f>
        <v>393207.89</v>
      </c>
      <c r="P149" s="96">
        <f>$I149*имущество!$F$5/имущество!$F$11</f>
        <v>379746.91</v>
      </c>
      <c r="Q149" s="96">
        <f>$I149*имущество!$F$6/имущество!$F$11</f>
        <v>3677.93</v>
      </c>
      <c r="R149" s="96">
        <f>$I149*имущество!$F$7/имущество!$F$11</f>
        <v>3677.93</v>
      </c>
      <c r="S149" s="96">
        <f>$I149*имущество!$F$8/имущество!$F$11</f>
        <v>3677.93</v>
      </c>
      <c r="T149" s="96">
        <f>$I149*имущество!$F$9/имущество!$F$11</f>
        <v>22316.83</v>
      </c>
      <c r="U149" s="97">
        <f t="shared" ref="U149:U160" si="262">I149-SUM(N149:T149)</f>
        <v>4911.26</v>
      </c>
    </row>
    <row r="150" spans="1:21" x14ac:dyDescent="0.25">
      <c r="A150" s="149">
        <v>10990</v>
      </c>
      <c r="B150" s="116">
        <f t="shared" ref="B150:B160" si="263">B149</f>
        <v>2418661.34</v>
      </c>
      <c r="C150" s="95">
        <f t="shared" si="260"/>
        <v>483732.27</v>
      </c>
      <c r="D150" s="98">
        <f t="shared" si="261"/>
        <v>2902393.61</v>
      </c>
      <c r="E150" s="116">
        <f t="shared" ref="E150:E160" si="264">H150-B150</f>
        <v>3667496.85</v>
      </c>
      <c r="F150" s="95">
        <f t="shared" ref="F150:F160" si="265">E150*J150/100</f>
        <v>733499.37</v>
      </c>
      <c r="G150" s="98">
        <f t="shared" ref="G150:G160" si="266">F150+E150</f>
        <v>4400996.22</v>
      </c>
      <c r="H150" s="111">
        <f>H149</f>
        <v>6086158.1900000004</v>
      </c>
      <c r="I150" s="95">
        <f t="shared" ref="I150:I160" si="267">F150+C150</f>
        <v>1217231.6399999999</v>
      </c>
      <c r="J150" s="217">
        <v>20</v>
      </c>
      <c r="K150" s="98">
        <f t="shared" ref="K150:K160" si="268">I150+H150</f>
        <v>7303389.8300000001</v>
      </c>
      <c r="L150" s="98">
        <f>L149</f>
        <v>317478123.99000001</v>
      </c>
      <c r="M150" s="98"/>
      <c r="N150" s="116">
        <f>$I150*имущество!$F$3/имущество!$F$11</f>
        <v>406014.96</v>
      </c>
      <c r="O150" s="95">
        <f>$I150*имущество!$F$4/имущество!$F$11</f>
        <v>393207.89</v>
      </c>
      <c r="P150" s="95">
        <f>$I150*имущество!$F$5/имущество!$F$11</f>
        <v>379746.91</v>
      </c>
      <c r="Q150" s="95">
        <f>$I150*имущество!$F$6/имущество!$F$11</f>
        <v>3677.93</v>
      </c>
      <c r="R150" s="95">
        <f>$I150*имущество!$F$7/имущество!$F$11</f>
        <v>3677.93</v>
      </c>
      <c r="S150" s="95">
        <f>$I150*имущество!$F$8/имущество!$F$11</f>
        <v>3677.93</v>
      </c>
      <c r="T150" s="95">
        <f>$I150*имущество!$F$9/имущество!$F$11</f>
        <v>22316.83</v>
      </c>
      <c r="U150" s="98">
        <f t="shared" si="262"/>
        <v>4911.26</v>
      </c>
    </row>
    <row r="151" spans="1:21" x14ac:dyDescent="0.25">
      <c r="A151" s="149">
        <v>11018</v>
      </c>
      <c r="B151" s="116">
        <f t="shared" si="263"/>
        <v>2418661.34</v>
      </c>
      <c r="C151" s="95">
        <f t="shared" si="260"/>
        <v>483732.27</v>
      </c>
      <c r="D151" s="98">
        <f t="shared" si="261"/>
        <v>2902393.61</v>
      </c>
      <c r="E151" s="116">
        <f t="shared" si="264"/>
        <v>3667496.85</v>
      </c>
      <c r="F151" s="95">
        <f t="shared" si="265"/>
        <v>733499.37</v>
      </c>
      <c r="G151" s="98">
        <f t="shared" si="266"/>
        <v>4400996.22</v>
      </c>
      <c r="H151" s="111">
        <f t="shared" ref="H151:H159" si="269">H150</f>
        <v>6086158.1900000004</v>
      </c>
      <c r="I151" s="95">
        <f t="shared" si="267"/>
        <v>1217231.6399999999</v>
      </c>
      <c r="J151" s="217">
        <v>20</v>
      </c>
      <c r="K151" s="98">
        <f t="shared" si="268"/>
        <v>7303389.8300000001</v>
      </c>
      <c r="L151" s="98">
        <f>L150</f>
        <v>317478123.99000001</v>
      </c>
      <c r="M151" s="98"/>
      <c r="N151" s="116">
        <f>$I151*имущество!$F$3/имущество!$F$11</f>
        <v>406014.96</v>
      </c>
      <c r="O151" s="95">
        <f>$I151*имущество!$F$4/имущество!$F$11</f>
        <v>393207.89</v>
      </c>
      <c r="P151" s="95">
        <f>$I151*имущество!$F$5/имущество!$F$11</f>
        <v>379746.91</v>
      </c>
      <c r="Q151" s="95">
        <f>$I151*имущество!$F$6/имущество!$F$11</f>
        <v>3677.93</v>
      </c>
      <c r="R151" s="95">
        <f>$I151*имущество!$F$7/имущество!$F$11</f>
        <v>3677.93</v>
      </c>
      <c r="S151" s="95">
        <f>$I151*имущество!$F$8/имущество!$F$11</f>
        <v>3677.93</v>
      </c>
      <c r="T151" s="95">
        <f>$I151*имущество!$F$9/имущество!$F$11</f>
        <v>22316.83</v>
      </c>
      <c r="U151" s="98">
        <f t="shared" si="262"/>
        <v>4911.26</v>
      </c>
    </row>
    <row r="152" spans="1:21" x14ac:dyDescent="0.25">
      <c r="A152" s="149">
        <v>11049</v>
      </c>
      <c r="B152" s="116">
        <f t="shared" si="263"/>
        <v>2418661.34</v>
      </c>
      <c r="C152" s="95">
        <f t="shared" si="260"/>
        <v>483732.27</v>
      </c>
      <c r="D152" s="98">
        <f t="shared" si="261"/>
        <v>2902393.61</v>
      </c>
      <c r="E152" s="116">
        <f t="shared" si="264"/>
        <v>3667496.85</v>
      </c>
      <c r="F152" s="95">
        <f t="shared" si="265"/>
        <v>733499.37</v>
      </c>
      <c r="G152" s="98">
        <f t="shared" si="266"/>
        <v>4400996.22</v>
      </c>
      <c r="H152" s="111">
        <f t="shared" si="269"/>
        <v>6086158.1900000004</v>
      </c>
      <c r="I152" s="95">
        <f t="shared" si="267"/>
        <v>1217231.6399999999</v>
      </c>
      <c r="J152" s="217">
        <v>20</v>
      </c>
      <c r="K152" s="98">
        <f t="shared" si="268"/>
        <v>7303389.8300000001</v>
      </c>
      <c r="L152" s="98">
        <f>L151-SUM(K149:K151)</f>
        <v>295567954.5</v>
      </c>
      <c r="M152" s="98"/>
      <c r="N152" s="116">
        <f>$I152*имущество!$F$3/имущество!$F$11</f>
        <v>406014.96</v>
      </c>
      <c r="O152" s="95">
        <f>$I152*имущество!$F$4/имущество!$F$11</f>
        <v>393207.89</v>
      </c>
      <c r="P152" s="95">
        <f>$I152*имущество!$F$5/имущество!$F$11</f>
        <v>379746.91</v>
      </c>
      <c r="Q152" s="95">
        <f>$I152*имущество!$F$6/имущество!$F$11</f>
        <v>3677.93</v>
      </c>
      <c r="R152" s="95">
        <f>$I152*имущество!$F$7/имущество!$F$11</f>
        <v>3677.93</v>
      </c>
      <c r="S152" s="95">
        <f>$I152*имущество!$F$8/имущество!$F$11</f>
        <v>3677.93</v>
      </c>
      <c r="T152" s="95">
        <f>$I152*имущество!$F$9/имущество!$F$11</f>
        <v>22316.83</v>
      </c>
      <c r="U152" s="98">
        <f t="shared" si="262"/>
        <v>4911.26</v>
      </c>
    </row>
    <row r="153" spans="1:21" x14ac:dyDescent="0.25">
      <c r="A153" s="149">
        <v>11079</v>
      </c>
      <c r="B153" s="116">
        <f t="shared" si="263"/>
        <v>2418661.34</v>
      </c>
      <c r="C153" s="95">
        <f t="shared" si="260"/>
        <v>483732.27</v>
      </c>
      <c r="D153" s="98">
        <f t="shared" si="261"/>
        <v>2902393.61</v>
      </c>
      <c r="E153" s="116">
        <f t="shared" si="264"/>
        <v>3667496.85</v>
      </c>
      <c r="F153" s="95">
        <f t="shared" si="265"/>
        <v>733499.37</v>
      </c>
      <c r="G153" s="98">
        <f t="shared" si="266"/>
        <v>4400996.22</v>
      </c>
      <c r="H153" s="111">
        <f t="shared" si="269"/>
        <v>6086158.1900000004</v>
      </c>
      <c r="I153" s="95">
        <f t="shared" si="267"/>
        <v>1217231.6399999999</v>
      </c>
      <c r="J153" s="217">
        <v>20</v>
      </c>
      <c r="K153" s="98">
        <f t="shared" si="268"/>
        <v>7303389.8300000001</v>
      </c>
      <c r="L153" s="98">
        <f>L152</f>
        <v>295567954.5</v>
      </c>
      <c r="M153" s="98"/>
      <c r="N153" s="116">
        <f>$I153*имущество!$F$3/имущество!$F$11</f>
        <v>406014.96</v>
      </c>
      <c r="O153" s="95">
        <f>$I153*имущество!$F$4/имущество!$F$11</f>
        <v>393207.89</v>
      </c>
      <c r="P153" s="95">
        <f>$I153*имущество!$F$5/имущество!$F$11</f>
        <v>379746.91</v>
      </c>
      <c r="Q153" s="95">
        <f>$I153*имущество!$F$6/имущество!$F$11</f>
        <v>3677.93</v>
      </c>
      <c r="R153" s="95">
        <f>$I153*имущество!$F$7/имущество!$F$11</f>
        <v>3677.93</v>
      </c>
      <c r="S153" s="95">
        <f>$I153*имущество!$F$8/имущество!$F$11</f>
        <v>3677.93</v>
      </c>
      <c r="T153" s="95">
        <f>$I153*имущество!$F$9/имущество!$F$11</f>
        <v>22316.83</v>
      </c>
      <c r="U153" s="98">
        <f t="shared" si="262"/>
        <v>4911.26</v>
      </c>
    </row>
    <row r="154" spans="1:21" x14ac:dyDescent="0.25">
      <c r="A154" s="149">
        <v>11110</v>
      </c>
      <c r="B154" s="116">
        <f t="shared" si="263"/>
        <v>2418661.34</v>
      </c>
      <c r="C154" s="95">
        <f t="shared" si="260"/>
        <v>483732.27</v>
      </c>
      <c r="D154" s="98">
        <f t="shared" si="261"/>
        <v>2902393.61</v>
      </c>
      <c r="E154" s="116">
        <f t="shared" si="264"/>
        <v>3667496.85</v>
      </c>
      <c r="F154" s="95">
        <f t="shared" si="265"/>
        <v>733499.37</v>
      </c>
      <c r="G154" s="98">
        <f t="shared" si="266"/>
        <v>4400996.22</v>
      </c>
      <c r="H154" s="111">
        <f t="shared" si="269"/>
        <v>6086158.1900000004</v>
      </c>
      <c r="I154" s="95">
        <f t="shared" si="267"/>
        <v>1217231.6399999999</v>
      </c>
      <c r="J154" s="217">
        <v>20</v>
      </c>
      <c r="K154" s="98">
        <f t="shared" si="268"/>
        <v>7303389.8300000001</v>
      </c>
      <c r="L154" s="98">
        <f>L153</f>
        <v>295567954.5</v>
      </c>
      <c r="M154" s="98"/>
      <c r="N154" s="116">
        <f>$I154*имущество!$F$3/имущество!$F$11</f>
        <v>406014.96</v>
      </c>
      <c r="O154" s="95">
        <f>$I154*имущество!$F$4/имущество!$F$11</f>
        <v>393207.89</v>
      </c>
      <c r="P154" s="95">
        <f>$I154*имущество!$F$5/имущество!$F$11</f>
        <v>379746.91</v>
      </c>
      <c r="Q154" s="95">
        <f>$I154*имущество!$F$6/имущество!$F$11</f>
        <v>3677.93</v>
      </c>
      <c r="R154" s="95">
        <f>$I154*имущество!$F$7/имущество!$F$11</f>
        <v>3677.93</v>
      </c>
      <c r="S154" s="95">
        <f>$I154*имущество!$F$8/имущество!$F$11</f>
        <v>3677.93</v>
      </c>
      <c r="T154" s="95">
        <f>$I154*имущество!$F$9/имущество!$F$11</f>
        <v>22316.83</v>
      </c>
      <c r="U154" s="98">
        <f t="shared" si="262"/>
        <v>4911.26</v>
      </c>
    </row>
    <row r="155" spans="1:21" x14ac:dyDescent="0.25">
      <c r="A155" s="149">
        <v>11140</v>
      </c>
      <c r="B155" s="116">
        <f t="shared" si="263"/>
        <v>2418661.34</v>
      </c>
      <c r="C155" s="95">
        <f t="shared" si="260"/>
        <v>483732.27</v>
      </c>
      <c r="D155" s="98">
        <f t="shared" si="261"/>
        <v>2902393.61</v>
      </c>
      <c r="E155" s="116">
        <f t="shared" si="264"/>
        <v>3667496.85</v>
      </c>
      <c r="F155" s="95">
        <f t="shared" si="265"/>
        <v>733499.37</v>
      </c>
      <c r="G155" s="98">
        <f t="shared" si="266"/>
        <v>4400996.22</v>
      </c>
      <c r="H155" s="111">
        <f t="shared" si="269"/>
        <v>6086158.1900000004</v>
      </c>
      <c r="I155" s="95">
        <f t="shared" si="267"/>
        <v>1217231.6399999999</v>
      </c>
      <c r="J155" s="217">
        <v>20</v>
      </c>
      <c r="K155" s="98">
        <f t="shared" si="268"/>
        <v>7303389.8300000001</v>
      </c>
      <c r="L155" s="98">
        <f>L154-SUM(K152:K154)</f>
        <v>273657785.00999999</v>
      </c>
      <c r="M155" s="98"/>
      <c r="N155" s="116">
        <f>$I155*имущество!$F$3/имущество!$F$11</f>
        <v>406014.96</v>
      </c>
      <c r="O155" s="95">
        <f>$I155*имущество!$F$4/имущество!$F$11</f>
        <v>393207.89</v>
      </c>
      <c r="P155" s="95">
        <f>$I155*имущество!$F$5/имущество!$F$11</f>
        <v>379746.91</v>
      </c>
      <c r="Q155" s="95">
        <f>$I155*имущество!$F$6/имущество!$F$11</f>
        <v>3677.93</v>
      </c>
      <c r="R155" s="95">
        <f>$I155*имущество!$F$7/имущество!$F$11</f>
        <v>3677.93</v>
      </c>
      <c r="S155" s="95">
        <f>$I155*имущество!$F$8/имущество!$F$11</f>
        <v>3677.93</v>
      </c>
      <c r="T155" s="95">
        <f>$I155*имущество!$F$9/имущество!$F$11</f>
        <v>22316.83</v>
      </c>
      <c r="U155" s="98">
        <f t="shared" si="262"/>
        <v>4911.26</v>
      </c>
    </row>
    <row r="156" spans="1:21" x14ac:dyDescent="0.25">
      <c r="A156" s="149">
        <v>11171</v>
      </c>
      <c r="B156" s="116">
        <f t="shared" si="263"/>
        <v>2418661.34</v>
      </c>
      <c r="C156" s="95">
        <f t="shared" si="260"/>
        <v>483732.27</v>
      </c>
      <c r="D156" s="98">
        <f t="shared" si="261"/>
        <v>2902393.61</v>
      </c>
      <c r="E156" s="116">
        <f t="shared" si="264"/>
        <v>3667496.85</v>
      </c>
      <c r="F156" s="95">
        <f t="shared" si="265"/>
        <v>733499.37</v>
      </c>
      <c r="G156" s="98">
        <f t="shared" si="266"/>
        <v>4400996.22</v>
      </c>
      <c r="H156" s="111">
        <f t="shared" si="269"/>
        <v>6086158.1900000004</v>
      </c>
      <c r="I156" s="95">
        <f t="shared" si="267"/>
        <v>1217231.6399999999</v>
      </c>
      <c r="J156" s="217">
        <v>20</v>
      </c>
      <c r="K156" s="98">
        <f t="shared" si="268"/>
        <v>7303389.8300000001</v>
      </c>
      <c r="L156" s="98">
        <f>L155</f>
        <v>273657785.00999999</v>
      </c>
      <c r="M156" s="98"/>
      <c r="N156" s="116">
        <f>$I156*имущество!$F$3/имущество!$F$11</f>
        <v>406014.96</v>
      </c>
      <c r="O156" s="95">
        <f>$I156*имущество!$F$4/имущество!$F$11</f>
        <v>393207.89</v>
      </c>
      <c r="P156" s="95">
        <f>$I156*имущество!$F$5/имущество!$F$11</f>
        <v>379746.91</v>
      </c>
      <c r="Q156" s="95">
        <f>$I156*имущество!$F$6/имущество!$F$11</f>
        <v>3677.93</v>
      </c>
      <c r="R156" s="95">
        <f>$I156*имущество!$F$7/имущество!$F$11</f>
        <v>3677.93</v>
      </c>
      <c r="S156" s="95">
        <f>$I156*имущество!$F$8/имущество!$F$11</f>
        <v>3677.93</v>
      </c>
      <c r="T156" s="95">
        <f>$I156*имущество!$F$9/имущество!$F$11</f>
        <v>22316.83</v>
      </c>
      <c r="U156" s="98">
        <f t="shared" si="262"/>
        <v>4911.26</v>
      </c>
    </row>
    <row r="157" spans="1:21" x14ac:dyDescent="0.25">
      <c r="A157" s="149">
        <v>11202</v>
      </c>
      <c r="B157" s="116">
        <f t="shared" si="263"/>
        <v>2418661.34</v>
      </c>
      <c r="C157" s="95">
        <f t="shared" si="260"/>
        <v>483732.27</v>
      </c>
      <c r="D157" s="98">
        <f t="shared" si="261"/>
        <v>2902393.61</v>
      </c>
      <c r="E157" s="116">
        <f t="shared" si="264"/>
        <v>3667496.85</v>
      </c>
      <c r="F157" s="95">
        <f t="shared" si="265"/>
        <v>733499.37</v>
      </c>
      <c r="G157" s="98">
        <f t="shared" si="266"/>
        <v>4400996.22</v>
      </c>
      <c r="H157" s="111">
        <f t="shared" si="269"/>
        <v>6086158.1900000004</v>
      </c>
      <c r="I157" s="95">
        <f t="shared" si="267"/>
        <v>1217231.6399999999</v>
      </c>
      <c r="J157" s="217">
        <v>20</v>
      </c>
      <c r="K157" s="98">
        <f t="shared" si="268"/>
        <v>7303389.8300000001</v>
      </c>
      <c r="L157" s="98">
        <f>L156</f>
        <v>273657785.00999999</v>
      </c>
      <c r="M157" s="98"/>
      <c r="N157" s="116">
        <f>$I157*имущество!$F$3/имущество!$F$11</f>
        <v>406014.96</v>
      </c>
      <c r="O157" s="95">
        <f>$I157*имущество!$F$4/имущество!$F$11</f>
        <v>393207.89</v>
      </c>
      <c r="P157" s="95">
        <f>$I157*имущество!$F$5/имущество!$F$11</f>
        <v>379746.91</v>
      </c>
      <c r="Q157" s="95">
        <f>$I157*имущество!$F$6/имущество!$F$11</f>
        <v>3677.93</v>
      </c>
      <c r="R157" s="95">
        <f>$I157*имущество!$F$7/имущество!$F$11</f>
        <v>3677.93</v>
      </c>
      <c r="S157" s="95">
        <f>$I157*имущество!$F$8/имущество!$F$11</f>
        <v>3677.93</v>
      </c>
      <c r="T157" s="95">
        <f>$I157*имущество!$F$9/имущество!$F$11</f>
        <v>22316.83</v>
      </c>
      <c r="U157" s="98">
        <f t="shared" si="262"/>
        <v>4911.26</v>
      </c>
    </row>
    <row r="158" spans="1:21" x14ac:dyDescent="0.25">
      <c r="A158" s="149">
        <v>11232</v>
      </c>
      <c r="B158" s="116">
        <f t="shared" si="263"/>
        <v>2418661.34</v>
      </c>
      <c r="C158" s="95">
        <f t="shared" si="260"/>
        <v>483732.27</v>
      </c>
      <c r="D158" s="98">
        <f t="shared" si="261"/>
        <v>2902393.61</v>
      </c>
      <c r="E158" s="116">
        <f t="shared" si="264"/>
        <v>3667496.85</v>
      </c>
      <c r="F158" s="95">
        <f t="shared" si="265"/>
        <v>733499.37</v>
      </c>
      <c r="G158" s="98">
        <f t="shared" si="266"/>
        <v>4400996.22</v>
      </c>
      <c r="H158" s="111">
        <f t="shared" si="269"/>
        <v>6086158.1900000004</v>
      </c>
      <c r="I158" s="95">
        <f t="shared" si="267"/>
        <v>1217231.6399999999</v>
      </c>
      <c r="J158" s="217">
        <v>20</v>
      </c>
      <c r="K158" s="98">
        <f t="shared" si="268"/>
        <v>7303389.8300000001</v>
      </c>
      <c r="L158" s="98">
        <f>L157-SUM(K155:K157)</f>
        <v>251747615.52000001</v>
      </c>
      <c r="M158" s="98"/>
      <c r="N158" s="116">
        <f>$I158*имущество!$F$3/имущество!$F$11</f>
        <v>406014.96</v>
      </c>
      <c r="O158" s="95">
        <f>$I158*имущество!$F$4/имущество!$F$11</f>
        <v>393207.89</v>
      </c>
      <c r="P158" s="95">
        <f>$I158*имущество!$F$5/имущество!$F$11</f>
        <v>379746.91</v>
      </c>
      <c r="Q158" s="95">
        <f>$I158*имущество!$F$6/имущество!$F$11</f>
        <v>3677.93</v>
      </c>
      <c r="R158" s="95">
        <f>$I158*имущество!$F$7/имущество!$F$11</f>
        <v>3677.93</v>
      </c>
      <c r="S158" s="95">
        <f>$I158*имущество!$F$8/имущество!$F$11</f>
        <v>3677.93</v>
      </c>
      <c r="T158" s="95">
        <f>$I158*имущество!$F$9/имущество!$F$11</f>
        <v>22316.83</v>
      </c>
      <c r="U158" s="98">
        <f t="shared" si="262"/>
        <v>4911.26</v>
      </c>
    </row>
    <row r="159" spans="1:21" x14ac:dyDescent="0.25">
      <c r="A159" s="149">
        <v>11263</v>
      </c>
      <c r="B159" s="116">
        <f t="shared" si="263"/>
        <v>2418661.34</v>
      </c>
      <c r="C159" s="95">
        <f t="shared" si="260"/>
        <v>483732.27</v>
      </c>
      <c r="D159" s="98">
        <f t="shared" si="261"/>
        <v>2902393.61</v>
      </c>
      <c r="E159" s="116">
        <f t="shared" si="264"/>
        <v>3667496.85</v>
      </c>
      <c r="F159" s="95">
        <f t="shared" si="265"/>
        <v>733499.37</v>
      </c>
      <c r="G159" s="98">
        <f t="shared" si="266"/>
        <v>4400996.22</v>
      </c>
      <c r="H159" s="111">
        <f t="shared" si="269"/>
        <v>6086158.1900000004</v>
      </c>
      <c r="I159" s="95">
        <f t="shared" si="267"/>
        <v>1217231.6399999999</v>
      </c>
      <c r="J159" s="217">
        <v>20</v>
      </c>
      <c r="K159" s="98">
        <f t="shared" si="268"/>
        <v>7303389.8300000001</v>
      </c>
      <c r="L159" s="98">
        <f>L158</f>
        <v>251747615.52000001</v>
      </c>
      <c r="M159" s="98"/>
      <c r="N159" s="116">
        <f>$I159*имущество!$F$3/имущество!$F$11</f>
        <v>406014.96</v>
      </c>
      <c r="O159" s="95">
        <f>$I159*имущество!$F$4/имущество!$F$11</f>
        <v>393207.89</v>
      </c>
      <c r="P159" s="95">
        <f>$I159*имущество!$F$5/имущество!$F$11</f>
        <v>379746.91</v>
      </c>
      <c r="Q159" s="95">
        <f>$I159*имущество!$F$6/имущество!$F$11</f>
        <v>3677.93</v>
      </c>
      <c r="R159" s="95">
        <f>$I159*имущество!$F$7/имущество!$F$11</f>
        <v>3677.93</v>
      </c>
      <c r="S159" s="95">
        <f>$I159*имущество!$F$8/имущество!$F$11</f>
        <v>3677.93</v>
      </c>
      <c r="T159" s="95">
        <f>$I159*имущество!$F$9/имущество!$F$11</f>
        <v>22316.83</v>
      </c>
      <c r="U159" s="98">
        <f t="shared" si="262"/>
        <v>4911.26</v>
      </c>
    </row>
    <row r="160" spans="1:21" ht="18.75" thickBot="1" x14ac:dyDescent="0.3">
      <c r="A160" s="148">
        <v>11293</v>
      </c>
      <c r="B160" s="114">
        <f t="shared" si="263"/>
        <v>2418661.34</v>
      </c>
      <c r="C160" s="102">
        <f t="shared" si="260"/>
        <v>483732.27</v>
      </c>
      <c r="D160" s="103">
        <f t="shared" si="261"/>
        <v>2902393.61</v>
      </c>
      <c r="E160" s="114">
        <f t="shared" si="264"/>
        <v>3667496.88</v>
      </c>
      <c r="F160" s="102">
        <f t="shared" si="265"/>
        <v>733499.38</v>
      </c>
      <c r="G160" s="103">
        <f t="shared" si="266"/>
        <v>4400996.26</v>
      </c>
      <c r="H160" s="109">
        <f>H161-SUM(H149:H159)</f>
        <v>6086158.2199999997</v>
      </c>
      <c r="I160" s="102">
        <f t="shared" si="267"/>
        <v>1217231.6499999999</v>
      </c>
      <c r="J160" s="215">
        <v>20</v>
      </c>
      <c r="K160" s="103">
        <f t="shared" si="268"/>
        <v>7303389.8700000001</v>
      </c>
      <c r="L160" s="103">
        <f>L159</f>
        <v>251747615.52000001</v>
      </c>
      <c r="M160" s="103"/>
      <c r="N160" s="114">
        <f>$I160*имущество!$F$3/имущество!$F$11</f>
        <v>406014.97</v>
      </c>
      <c r="O160" s="102">
        <f>$I160*имущество!$F$4/имущество!$F$11</f>
        <v>393207.89</v>
      </c>
      <c r="P160" s="102">
        <f>$I160*имущество!$F$5/имущество!$F$11</f>
        <v>379746.91</v>
      </c>
      <c r="Q160" s="102">
        <f>$I160*имущество!$F$6/имущество!$F$11</f>
        <v>3677.93</v>
      </c>
      <c r="R160" s="102">
        <f>$I160*имущество!$F$7/имущество!$F$11</f>
        <v>3677.93</v>
      </c>
      <c r="S160" s="102">
        <f>$I160*имущество!$F$8/имущество!$F$11</f>
        <v>3677.93</v>
      </c>
      <c r="T160" s="102">
        <f>$I160*имущество!$F$9/имущество!$F$11</f>
        <v>22316.83</v>
      </c>
      <c r="U160" s="103">
        <f t="shared" si="262"/>
        <v>4911.26</v>
      </c>
    </row>
    <row r="161" spans="1:21" s="117" customFormat="1" ht="18.75" thickBot="1" x14ac:dyDescent="0.3">
      <c r="A161" s="106">
        <f>A148+1</f>
        <v>2030</v>
      </c>
      <c r="B161" s="115">
        <f t="shared" ref="B161" si="270">SUM(B149:B160)</f>
        <v>29023936.079999998</v>
      </c>
      <c r="C161" s="104">
        <f t="shared" ref="C161" si="271">SUM(C149:C160)</f>
        <v>5804787.2400000002</v>
      </c>
      <c r="D161" s="105">
        <f t="shared" ref="D161" si="272">SUM(D149:D160)</f>
        <v>34828723.32</v>
      </c>
      <c r="E161" s="115">
        <f t="shared" ref="E161" si="273">SUM(E149:E160)</f>
        <v>44009962.229999997</v>
      </c>
      <c r="F161" s="104">
        <f t="shared" ref="F161" si="274">SUM(F149:F160)</f>
        <v>8801992.4499999993</v>
      </c>
      <c r="G161" s="105">
        <f t="shared" ref="G161" si="275">SUM(G149:G160)</f>
        <v>52811954.68</v>
      </c>
      <c r="H161" s="110">
        <f>Лист2!E27</f>
        <v>73033898.310000002</v>
      </c>
      <c r="I161" s="104">
        <f t="shared" ref="I161" si="276">SUM(I149:I160)</f>
        <v>14606779.689999999</v>
      </c>
      <c r="J161" s="216">
        <v>20</v>
      </c>
      <c r="K161" s="105">
        <f t="shared" ref="K161" si="277">SUM(K149:K160)</f>
        <v>87640678</v>
      </c>
      <c r="L161" s="105">
        <f>L160</f>
        <v>251747615.52000001</v>
      </c>
      <c r="M161" s="105">
        <f>L174</f>
        <v>161567107.00999999</v>
      </c>
      <c r="N161" s="115">
        <f t="shared" ref="N161" si="278">SUM(N149:N160)</f>
        <v>4872179.53</v>
      </c>
      <c r="O161" s="104">
        <f t="shared" ref="O161" si="279">SUM(O149:O160)</f>
        <v>4718494.68</v>
      </c>
      <c r="P161" s="104">
        <f t="shared" ref="P161" si="280">SUM(P149:P160)</f>
        <v>4556962.92</v>
      </c>
      <c r="Q161" s="104">
        <f t="shared" ref="Q161" si="281">SUM(Q149:Q160)</f>
        <v>44135.16</v>
      </c>
      <c r="R161" s="104">
        <f t="shared" ref="R161" si="282">SUM(R149:R160)</f>
        <v>44135.16</v>
      </c>
      <c r="S161" s="104">
        <f t="shared" ref="S161" si="283">SUM(S149:S160)</f>
        <v>44135.16</v>
      </c>
      <c r="T161" s="104">
        <f t="shared" ref="T161" si="284">SUM(T149:T160)</f>
        <v>267801.96000000002</v>
      </c>
      <c r="U161" s="105">
        <f t="shared" ref="U161" si="285">SUM(U149:U160)</f>
        <v>58935.12</v>
      </c>
    </row>
    <row r="162" spans="1:21" x14ac:dyDescent="0.25">
      <c r="A162" s="147">
        <v>11324</v>
      </c>
      <c r="B162" s="113">
        <f t="shared" ref="B162" si="286">B149</f>
        <v>2418661.34</v>
      </c>
      <c r="C162" s="96">
        <f t="shared" ref="C162:C173" si="287">B162*J162/100</f>
        <v>483732.27</v>
      </c>
      <c r="D162" s="97">
        <f t="shared" ref="D162:D173" si="288">C162+B162</f>
        <v>2902393.61</v>
      </c>
      <c r="E162" s="113">
        <f>H162-B162</f>
        <v>3902666.34</v>
      </c>
      <c r="F162" s="96">
        <f>E162*J162/100</f>
        <v>780533.27</v>
      </c>
      <c r="G162" s="97">
        <f>F162+E162</f>
        <v>4683199.6100000003</v>
      </c>
      <c r="H162" s="108">
        <f>H174/12</f>
        <v>6321327.6799999997</v>
      </c>
      <c r="I162" s="96">
        <f>F162+C162</f>
        <v>1264265.54</v>
      </c>
      <c r="J162" s="214">
        <v>20</v>
      </c>
      <c r="K162" s="97">
        <f>I162+H162</f>
        <v>7585593.2199999997</v>
      </c>
      <c r="L162" s="97">
        <f>L161-SUM(K158:K160)</f>
        <v>229837445.99000001</v>
      </c>
      <c r="M162" s="97"/>
      <c r="N162" s="113">
        <f>$I162*имущество!$F$3/имущество!$F$11</f>
        <v>421703.41</v>
      </c>
      <c r="O162" s="96">
        <f>$I162*имущество!$F$4/имущество!$F$11</f>
        <v>408401.46</v>
      </c>
      <c r="P162" s="96">
        <f>$I162*имущество!$F$5/имущество!$F$11</f>
        <v>394420.35</v>
      </c>
      <c r="Q162" s="96">
        <f>$I162*имущество!$F$6/имущество!$F$11</f>
        <v>3820.05</v>
      </c>
      <c r="R162" s="96">
        <f>$I162*имущество!$F$7/имущество!$F$11</f>
        <v>3820.05</v>
      </c>
      <c r="S162" s="96">
        <f>$I162*имущество!$F$8/имущество!$F$11</f>
        <v>3820.05</v>
      </c>
      <c r="T162" s="96">
        <f>$I162*имущество!$F$9/имущество!$F$11</f>
        <v>23179.15</v>
      </c>
      <c r="U162" s="97">
        <f t="shared" ref="U162:U173" si="289">I162-SUM(N162:T162)</f>
        <v>5101.0200000000004</v>
      </c>
    </row>
    <row r="163" spans="1:21" x14ac:dyDescent="0.25">
      <c r="A163" s="149">
        <v>11355</v>
      </c>
      <c r="B163" s="116">
        <f t="shared" ref="B163:B173" si="290">B162</f>
        <v>2418661.34</v>
      </c>
      <c r="C163" s="95">
        <f t="shared" si="287"/>
        <v>483732.27</v>
      </c>
      <c r="D163" s="98">
        <f t="shared" si="288"/>
        <v>2902393.61</v>
      </c>
      <c r="E163" s="116">
        <f t="shared" ref="E163:E173" si="291">H163-B163</f>
        <v>3902666.34</v>
      </c>
      <c r="F163" s="95">
        <f t="shared" ref="F163:F173" si="292">E163*J163/100</f>
        <v>780533.27</v>
      </c>
      <c r="G163" s="98">
        <f t="shared" ref="G163:G173" si="293">F163+E163</f>
        <v>4683199.6100000003</v>
      </c>
      <c r="H163" s="111">
        <f>H162</f>
        <v>6321327.6799999997</v>
      </c>
      <c r="I163" s="95">
        <f t="shared" ref="I163:I173" si="294">F163+C163</f>
        <v>1264265.54</v>
      </c>
      <c r="J163" s="217">
        <v>20</v>
      </c>
      <c r="K163" s="98">
        <f t="shared" ref="K163:K173" si="295">I163+H163</f>
        <v>7585593.2199999997</v>
      </c>
      <c r="L163" s="98">
        <f>L162</f>
        <v>229837445.99000001</v>
      </c>
      <c r="M163" s="98"/>
      <c r="N163" s="116">
        <f>$I163*имущество!$F$3/имущество!$F$11</f>
        <v>421703.41</v>
      </c>
      <c r="O163" s="95">
        <f>$I163*имущество!$F$4/имущество!$F$11</f>
        <v>408401.46</v>
      </c>
      <c r="P163" s="95">
        <f>$I163*имущество!$F$5/имущество!$F$11</f>
        <v>394420.35</v>
      </c>
      <c r="Q163" s="95">
        <f>$I163*имущество!$F$6/имущество!$F$11</f>
        <v>3820.05</v>
      </c>
      <c r="R163" s="95">
        <f>$I163*имущество!$F$7/имущество!$F$11</f>
        <v>3820.05</v>
      </c>
      <c r="S163" s="95">
        <f>$I163*имущество!$F$8/имущество!$F$11</f>
        <v>3820.05</v>
      </c>
      <c r="T163" s="95">
        <f>$I163*имущество!$F$9/имущество!$F$11</f>
        <v>23179.15</v>
      </c>
      <c r="U163" s="98">
        <f t="shared" si="289"/>
        <v>5101.0200000000004</v>
      </c>
    </row>
    <row r="164" spans="1:21" x14ac:dyDescent="0.25">
      <c r="A164" s="149">
        <v>11383</v>
      </c>
      <c r="B164" s="116">
        <f t="shared" si="290"/>
        <v>2418661.34</v>
      </c>
      <c r="C164" s="95">
        <f t="shared" si="287"/>
        <v>483732.27</v>
      </c>
      <c r="D164" s="98">
        <f t="shared" si="288"/>
        <v>2902393.61</v>
      </c>
      <c r="E164" s="116">
        <f t="shared" si="291"/>
        <v>3902666.34</v>
      </c>
      <c r="F164" s="95">
        <f t="shared" si="292"/>
        <v>780533.27</v>
      </c>
      <c r="G164" s="98">
        <f t="shared" si="293"/>
        <v>4683199.6100000003</v>
      </c>
      <c r="H164" s="111">
        <f t="shared" ref="H164:H172" si="296">H163</f>
        <v>6321327.6799999997</v>
      </c>
      <c r="I164" s="95">
        <f t="shared" si="294"/>
        <v>1264265.54</v>
      </c>
      <c r="J164" s="217">
        <v>20</v>
      </c>
      <c r="K164" s="98">
        <f t="shared" si="295"/>
        <v>7585593.2199999997</v>
      </c>
      <c r="L164" s="98">
        <f>L163</f>
        <v>229837445.99000001</v>
      </c>
      <c r="M164" s="98"/>
      <c r="N164" s="116">
        <f>$I164*имущество!$F$3/имущество!$F$11</f>
        <v>421703.41</v>
      </c>
      <c r="O164" s="95">
        <f>$I164*имущество!$F$4/имущество!$F$11</f>
        <v>408401.46</v>
      </c>
      <c r="P164" s="95">
        <f>$I164*имущество!$F$5/имущество!$F$11</f>
        <v>394420.35</v>
      </c>
      <c r="Q164" s="95">
        <f>$I164*имущество!$F$6/имущество!$F$11</f>
        <v>3820.05</v>
      </c>
      <c r="R164" s="95">
        <f>$I164*имущество!$F$7/имущество!$F$11</f>
        <v>3820.05</v>
      </c>
      <c r="S164" s="95">
        <f>$I164*имущество!$F$8/имущество!$F$11</f>
        <v>3820.05</v>
      </c>
      <c r="T164" s="95">
        <f>$I164*имущество!$F$9/имущество!$F$11</f>
        <v>23179.15</v>
      </c>
      <c r="U164" s="98">
        <f t="shared" si="289"/>
        <v>5101.0200000000004</v>
      </c>
    </row>
    <row r="165" spans="1:21" x14ac:dyDescent="0.25">
      <c r="A165" s="149">
        <v>11414</v>
      </c>
      <c r="B165" s="116">
        <f t="shared" si="290"/>
        <v>2418661.34</v>
      </c>
      <c r="C165" s="95">
        <f t="shared" si="287"/>
        <v>483732.27</v>
      </c>
      <c r="D165" s="98">
        <f t="shared" si="288"/>
        <v>2902393.61</v>
      </c>
      <c r="E165" s="116">
        <f t="shared" si="291"/>
        <v>3902666.34</v>
      </c>
      <c r="F165" s="95">
        <f t="shared" si="292"/>
        <v>780533.27</v>
      </c>
      <c r="G165" s="98">
        <f t="shared" si="293"/>
        <v>4683199.6100000003</v>
      </c>
      <c r="H165" s="111">
        <f t="shared" si="296"/>
        <v>6321327.6799999997</v>
      </c>
      <c r="I165" s="95">
        <f t="shared" si="294"/>
        <v>1264265.54</v>
      </c>
      <c r="J165" s="217">
        <v>20</v>
      </c>
      <c r="K165" s="98">
        <f t="shared" si="295"/>
        <v>7585593.2199999997</v>
      </c>
      <c r="L165" s="98">
        <f>L164-SUM(K162:K164)</f>
        <v>207080666.33000001</v>
      </c>
      <c r="M165" s="98"/>
      <c r="N165" s="116">
        <f>$I165*имущество!$F$3/имущество!$F$11</f>
        <v>421703.41</v>
      </c>
      <c r="O165" s="95">
        <f>$I165*имущество!$F$4/имущество!$F$11</f>
        <v>408401.46</v>
      </c>
      <c r="P165" s="95">
        <f>$I165*имущество!$F$5/имущество!$F$11</f>
        <v>394420.35</v>
      </c>
      <c r="Q165" s="95">
        <f>$I165*имущество!$F$6/имущество!$F$11</f>
        <v>3820.05</v>
      </c>
      <c r="R165" s="95">
        <f>$I165*имущество!$F$7/имущество!$F$11</f>
        <v>3820.05</v>
      </c>
      <c r="S165" s="95">
        <f>$I165*имущество!$F$8/имущество!$F$11</f>
        <v>3820.05</v>
      </c>
      <c r="T165" s="95">
        <f>$I165*имущество!$F$9/имущество!$F$11</f>
        <v>23179.15</v>
      </c>
      <c r="U165" s="98">
        <f t="shared" si="289"/>
        <v>5101.0200000000004</v>
      </c>
    </row>
    <row r="166" spans="1:21" x14ac:dyDescent="0.25">
      <c r="A166" s="149">
        <v>11444</v>
      </c>
      <c r="B166" s="116">
        <f t="shared" si="290"/>
        <v>2418661.34</v>
      </c>
      <c r="C166" s="95">
        <f t="shared" si="287"/>
        <v>483732.27</v>
      </c>
      <c r="D166" s="98">
        <f t="shared" si="288"/>
        <v>2902393.61</v>
      </c>
      <c r="E166" s="116">
        <f t="shared" si="291"/>
        <v>3902666.34</v>
      </c>
      <c r="F166" s="95">
        <f t="shared" si="292"/>
        <v>780533.27</v>
      </c>
      <c r="G166" s="98">
        <f t="shared" si="293"/>
        <v>4683199.6100000003</v>
      </c>
      <c r="H166" s="111">
        <f t="shared" si="296"/>
        <v>6321327.6799999997</v>
      </c>
      <c r="I166" s="95">
        <f t="shared" si="294"/>
        <v>1264265.54</v>
      </c>
      <c r="J166" s="217">
        <v>20</v>
      </c>
      <c r="K166" s="98">
        <f t="shared" si="295"/>
        <v>7585593.2199999997</v>
      </c>
      <c r="L166" s="98">
        <f>L165</f>
        <v>207080666.33000001</v>
      </c>
      <c r="M166" s="98"/>
      <c r="N166" s="116">
        <f>$I166*имущество!$F$3/имущество!$F$11</f>
        <v>421703.41</v>
      </c>
      <c r="O166" s="95">
        <f>$I166*имущество!$F$4/имущество!$F$11</f>
        <v>408401.46</v>
      </c>
      <c r="P166" s="95">
        <f>$I166*имущество!$F$5/имущество!$F$11</f>
        <v>394420.35</v>
      </c>
      <c r="Q166" s="95">
        <f>$I166*имущество!$F$6/имущество!$F$11</f>
        <v>3820.05</v>
      </c>
      <c r="R166" s="95">
        <f>$I166*имущество!$F$7/имущество!$F$11</f>
        <v>3820.05</v>
      </c>
      <c r="S166" s="95">
        <f>$I166*имущество!$F$8/имущество!$F$11</f>
        <v>3820.05</v>
      </c>
      <c r="T166" s="95">
        <f>$I166*имущество!$F$9/имущество!$F$11</f>
        <v>23179.15</v>
      </c>
      <c r="U166" s="98">
        <f t="shared" si="289"/>
        <v>5101.0200000000004</v>
      </c>
    </row>
    <row r="167" spans="1:21" x14ac:dyDescent="0.25">
      <c r="A167" s="149">
        <v>11475</v>
      </c>
      <c r="B167" s="116">
        <f t="shared" si="290"/>
        <v>2418661.34</v>
      </c>
      <c r="C167" s="95">
        <f t="shared" si="287"/>
        <v>483732.27</v>
      </c>
      <c r="D167" s="98">
        <f t="shared" si="288"/>
        <v>2902393.61</v>
      </c>
      <c r="E167" s="116">
        <f t="shared" si="291"/>
        <v>3902666.34</v>
      </c>
      <c r="F167" s="95">
        <f t="shared" si="292"/>
        <v>780533.27</v>
      </c>
      <c r="G167" s="98">
        <f t="shared" si="293"/>
        <v>4683199.6100000003</v>
      </c>
      <c r="H167" s="111">
        <f t="shared" si="296"/>
        <v>6321327.6799999997</v>
      </c>
      <c r="I167" s="95">
        <f t="shared" si="294"/>
        <v>1264265.54</v>
      </c>
      <c r="J167" s="217">
        <v>20</v>
      </c>
      <c r="K167" s="98">
        <f t="shared" si="295"/>
        <v>7585593.2199999997</v>
      </c>
      <c r="L167" s="98">
        <f>L166</f>
        <v>207080666.33000001</v>
      </c>
      <c r="M167" s="98"/>
      <c r="N167" s="116">
        <f>$I167*имущество!$F$3/имущество!$F$11</f>
        <v>421703.41</v>
      </c>
      <c r="O167" s="95">
        <f>$I167*имущество!$F$4/имущество!$F$11</f>
        <v>408401.46</v>
      </c>
      <c r="P167" s="95">
        <f>$I167*имущество!$F$5/имущество!$F$11</f>
        <v>394420.35</v>
      </c>
      <c r="Q167" s="95">
        <f>$I167*имущество!$F$6/имущество!$F$11</f>
        <v>3820.05</v>
      </c>
      <c r="R167" s="95">
        <f>$I167*имущество!$F$7/имущество!$F$11</f>
        <v>3820.05</v>
      </c>
      <c r="S167" s="95">
        <f>$I167*имущество!$F$8/имущество!$F$11</f>
        <v>3820.05</v>
      </c>
      <c r="T167" s="95">
        <f>$I167*имущество!$F$9/имущество!$F$11</f>
        <v>23179.15</v>
      </c>
      <c r="U167" s="98">
        <f t="shared" si="289"/>
        <v>5101.0200000000004</v>
      </c>
    </row>
    <row r="168" spans="1:21" x14ac:dyDescent="0.25">
      <c r="A168" s="149">
        <v>11505</v>
      </c>
      <c r="B168" s="116">
        <f t="shared" si="290"/>
        <v>2418661.34</v>
      </c>
      <c r="C168" s="95">
        <f t="shared" si="287"/>
        <v>483732.27</v>
      </c>
      <c r="D168" s="98">
        <f t="shared" si="288"/>
        <v>2902393.61</v>
      </c>
      <c r="E168" s="116">
        <f t="shared" si="291"/>
        <v>3902666.34</v>
      </c>
      <c r="F168" s="95">
        <f t="shared" si="292"/>
        <v>780533.27</v>
      </c>
      <c r="G168" s="98">
        <f t="shared" si="293"/>
        <v>4683199.6100000003</v>
      </c>
      <c r="H168" s="111">
        <f t="shared" si="296"/>
        <v>6321327.6799999997</v>
      </c>
      <c r="I168" s="95">
        <f t="shared" si="294"/>
        <v>1264265.54</v>
      </c>
      <c r="J168" s="217">
        <v>20</v>
      </c>
      <c r="K168" s="98">
        <f t="shared" si="295"/>
        <v>7585593.2199999997</v>
      </c>
      <c r="L168" s="98">
        <f>L167-SUM(K165:K167)</f>
        <v>184323886.66999999</v>
      </c>
      <c r="M168" s="98"/>
      <c r="N168" s="116">
        <f>$I168*имущество!$F$3/имущество!$F$11</f>
        <v>421703.41</v>
      </c>
      <c r="O168" s="95">
        <f>$I168*имущество!$F$4/имущество!$F$11</f>
        <v>408401.46</v>
      </c>
      <c r="P168" s="95">
        <f>$I168*имущество!$F$5/имущество!$F$11</f>
        <v>394420.35</v>
      </c>
      <c r="Q168" s="95">
        <f>$I168*имущество!$F$6/имущество!$F$11</f>
        <v>3820.05</v>
      </c>
      <c r="R168" s="95">
        <f>$I168*имущество!$F$7/имущество!$F$11</f>
        <v>3820.05</v>
      </c>
      <c r="S168" s="95">
        <f>$I168*имущество!$F$8/имущество!$F$11</f>
        <v>3820.05</v>
      </c>
      <c r="T168" s="95">
        <f>$I168*имущество!$F$9/имущество!$F$11</f>
        <v>23179.15</v>
      </c>
      <c r="U168" s="98">
        <f t="shared" si="289"/>
        <v>5101.0200000000004</v>
      </c>
    </row>
    <row r="169" spans="1:21" x14ac:dyDescent="0.25">
      <c r="A169" s="149">
        <v>11536</v>
      </c>
      <c r="B169" s="116">
        <f t="shared" si="290"/>
        <v>2418661.34</v>
      </c>
      <c r="C169" s="95">
        <f t="shared" si="287"/>
        <v>483732.27</v>
      </c>
      <c r="D169" s="98">
        <f t="shared" si="288"/>
        <v>2902393.61</v>
      </c>
      <c r="E169" s="116">
        <f t="shared" si="291"/>
        <v>3902666.34</v>
      </c>
      <c r="F169" s="95">
        <f t="shared" si="292"/>
        <v>780533.27</v>
      </c>
      <c r="G169" s="98">
        <f t="shared" si="293"/>
        <v>4683199.6100000003</v>
      </c>
      <c r="H169" s="111">
        <f t="shared" si="296"/>
        <v>6321327.6799999997</v>
      </c>
      <c r="I169" s="95">
        <f t="shared" si="294"/>
        <v>1264265.54</v>
      </c>
      <c r="J169" s="217">
        <v>20</v>
      </c>
      <c r="K169" s="98">
        <f t="shared" si="295"/>
        <v>7585593.2199999997</v>
      </c>
      <c r="L169" s="98">
        <f>L168</f>
        <v>184323886.66999999</v>
      </c>
      <c r="M169" s="98"/>
      <c r="N169" s="116">
        <f>$I169*имущество!$F$3/имущество!$F$11</f>
        <v>421703.41</v>
      </c>
      <c r="O169" s="95">
        <f>$I169*имущество!$F$4/имущество!$F$11</f>
        <v>408401.46</v>
      </c>
      <c r="P169" s="95">
        <f>$I169*имущество!$F$5/имущество!$F$11</f>
        <v>394420.35</v>
      </c>
      <c r="Q169" s="95">
        <f>$I169*имущество!$F$6/имущество!$F$11</f>
        <v>3820.05</v>
      </c>
      <c r="R169" s="95">
        <f>$I169*имущество!$F$7/имущество!$F$11</f>
        <v>3820.05</v>
      </c>
      <c r="S169" s="95">
        <f>$I169*имущество!$F$8/имущество!$F$11</f>
        <v>3820.05</v>
      </c>
      <c r="T169" s="95">
        <f>$I169*имущество!$F$9/имущество!$F$11</f>
        <v>23179.15</v>
      </c>
      <c r="U169" s="98">
        <f t="shared" si="289"/>
        <v>5101.0200000000004</v>
      </c>
    </row>
    <row r="170" spans="1:21" x14ac:dyDescent="0.25">
      <c r="A170" s="149">
        <v>11567</v>
      </c>
      <c r="B170" s="116">
        <f t="shared" si="290"/>
        <v>2418661.34</v>
      </c>
      <c r="C170" s="95">
        <f t="shared" si="287"/>
        <v>483732.27</v>
      </c>
      <c r="D170" s="98">
        <f t="shared" si="288"/>
        <v>2902393.61</v>
      </c>
      <c r="E170" s="116">
        <f t="shared" si="291"/>
        <v>3902666.34</v>
      </c>
      <c r="F170" s="95">
        <f t="shared" si="292"/>
        <v>780533.27</v>
      </c>
      <c r="G170" s="98">
        <f t="shared" si="293"/>
        <v>4683199.6100000003</v>
      </c>
      <c r="H170" s="111">
        <f t="shared" si="296"/>
        <v>6321327.6799999997</v>
      </c>
      <c r="I170" s="95">
        <f t="shared" si="294"/>
        <v>1264265.54</v>
      </c>
      <c r="J170" s="217">
        <v>20</v>
      </c>
      <c r="K170" s="98">
        <f t="shared" si="295"/>
        <v>7585593.2199999997</v>
      </c>
      <c r="L170" s="98">
        <f>L169</f>
        <v>184323886.66999999</v>
      </c>
      <c r="M170" s="98"/>
      <c r="N170" s="116">
        <f>$I170*имущество!$F$3/имущество!$F$11</f>
        <v>421703.41</v>
      </c>
      <c r="O170" s="95">
        <f>$I170*имущество!$F$4/имущество!$F$11</f>
        <v>408401.46</v>
      </c>
      <c r="P170" s="95">
        <f>$I170*имущество!$F$5/имущество!$F$11</f>
        <v>394420.35</v>
      </c>
      <c r="Q170" s="95">
        <f>$I170*имущество!$F$6/имущество!$F$11</f>
        <v>3820.05</v>
      </c>
      <c r="R170" s="95">
        <f>$I170*имущество!$F$7/имущество!$F$11</f>
        <v>3820.05</v>
      </c>
      <c r="S170" s="95">
        <f>$I170*имущество!$F$8/имущество!$F$11</f>
        <v>3820.05</v>
      </c>
      <c r="T170" s="95">
        <f>$I170*имущество!$F$9/имущество!$F$11</f>
        <v>23179.15</v>
      </c>
      <c r="U170" s="98">
        <f t="shared" si="289"/>
        <v>5101.0200000000004</v>
      </c>
    </row>
    <row r="171" spans="1:21" x14ac:dyDescent="0.25">
      <c r="A171" s="149">
        <v>11597</v>
      </c>
      <c r="B171" s="116">
        <f t="shared" si="290"/>
        <v>2418661.34</v>
      </c>
      <c r="C171" s="95">
        <f t="shared" si="287"/>
        <v>483732.27</v>
      </c>
      <c r="D171" s="98">
        <f t="shared" si="288"/>
        <v>2902393.61</v>
      </c>
      <c r="E171" s="116">
        <f t="shared" si="291"/>
        <v>3902666.34</v>
      </c>
      <c r="F171" s="95">
        <f t="shared" si="292"/>
        <v>780533.27</v>
      </c>
      <c r="G171" s="98">
        <f t="shared" si="293"/>
        <v>4683199.6100000003</v>
      </c>
      <c r="H171" s="111">
        <f t="shared" si="296"/>
        <v>6321327.6799999997</v>
      </c>
      <c r="I171" s="95">
        <f t="shared" si="294"/>
        <v>1264265.54</v>
      </c>
      <c r="J171" s="217">
        <v>20</v>
      </c>
      <c r="K171" s="98">
        <f t="shared" si="295"/>
        <v>7585593.2199999997</v>
      </c>
      <c r="L171" s="98">
        <f>L170-SUM(K168:K170)</f>
        <v>161567107.00999999</v>
      </c>
      <c r="M171" s="98"/>
      <c r="N171" s="116">
        <f>$I171*имущество!$F$3/имущество!$F$11</f>
        <v>421703.41</v>
      </c>
      <c r="O171" s="95">
        <f>$I171*имущество!$F$4/имущество!$F$11</f>
        <v>408401.46</v>
      </c>
      <c r="P171" s="95">
        <f>$I171*имущество!$F$5/имущество!$F$11</f>
        <v>394420.35</v>
      </c>
      <c r="Q171" s="95">
        <f>$I171*имущество!$F$6/имущество!$F$11</f>
        <v>3820.05</v>
      </c>
      <c r="R171" s="95">
        <f>$I171*имущество!$F$7/имущество!$F$11</f>
        <v>3820.05</v>
      </c>
      <c r="S171" s="95">
        <f>$I171*имущество!$F$8/имущество!$F$11</f>
        <v>3820.05</v>
      </c>
      <c r="T171" s="95">
        <f>$I171*имущество!$F$9/имущество!$F$11</f>
        <v>23179.15</v>
      </c>
      <c r="U171" s="98">
        <f t="shared" si="289"/>
        <v>5101.0200000000004</v>
      </c>
    </row>
    <row r="172" spans="1:21" x14ac:dyDescent="0.25">
      <c r="A172" s="149">
        <v>11628</v>
      </c>
      <c r="B172" s="116">
        <f t="shared" si="290"/>
        <v>2418661.34</v>
      </c>
      <c r="C172" s="95">
        <f t="shared" si="287"/>
        <v>483732.27</v>
      </c>
      <c r="D172" s="98">
        <f t="shared" si="288"/>
        <v>2902393.61</v>
      </c>
      <c r="E172" s="116">
        <f t="shared" si="291"/>
        <v>3902666.34</v>
      </c>
      <c r="F172" s="95">
        <f t="shared" si="292"/>
        <v>780533.27</v>
      </c>
      <c r="G172" s="98">
        <f t="shared" si="293"/>
        <v>4683199.6100000003</v>
      </c>
      <c r="H172" s="111">
        <f t="shared" si="296"/>
        <v>6321327.6799999997</v>
      </c>
      <c r="I172" s="95">
        <f t="shared" si="294"/>
        <v>1264265.54</v>
      </c>
      <c r="J172" s="217">
        <v>20</v>
      </c>
      <c r="K172" s="98">
        <f t="shared" si="295"/>
        <v>7585593.2199999997</v>
      </c>
      <c r="L172" s="98">
        <f>L171</f>
        <v>161567107.00999999</v>
      </c>
      <c r="M172" s="98"/>
      <c r="N172" s="116">
        <f>$I172*имущество!$F$3/имущество!$F$11</f>
        <v>421703.41</v>
      </c>
      <c r="O172" s="95">
        <f>$I172*имущество!$F$4/имущество!$F$11</f>
        <v>408401.46</v>
      </c>
      <c r="P172" s="95">
        <f>$I172*имущество!$F$5/имущество!$F$11</f>
        <v>394420.35</v>
      </c>
      <c r="Q172" s="95">
        <f>$I172*имущество!$F$6/имущество!$F$11</f>
        <v>3820.05</v>
      </c>
      <c r="R172" s="95">
        <f>$I172*имущество!$F$7/имущество!$F$11</f>
        <v>3820.05</v>
      </c>
      <c r="S172" s="95">
        <f>$I172*имущество!$F$8/имущество!$F$11</f>
        <v>3820.05</v>
      </c>
      <c r="T172" s="95">
        <f>$I172*имущество!$F$9/имущество!$F$11</f>
        <v>23179.15</v>
      </c>
      <c r="U172" s="98">
        <f t="shared" si="289"/>
        <v>5101.0200000000004</v>
      </c>
    </row>
    <row r="173" spans="1:21" ht="18.75" thickBot="1" x14ac:dyDescent="0.3">
      <c r="A173" s="148">
        <v>11658</v>
      </c>
      <c r="B173" s="114">
        <f t="shared" si="290"/>
        <v>2418661.34</v>
      </c>
      <c r="C173" s="102">
        <f t="shared" si="287"/>
        <v>483732.27</v>
      </c>
      <c r="D173" s="103">
        <f t="shared" si="288"/>
        <v>2902393.61</v>
      </c>
      <c r="E173" s="114">
        <f t="shared" si="291"/>
        <v>3902666.38</v>
      </c>
      <c r="F173" s="102">
        <f t="shared" si="292"/>
        <v>780533.28</v>
      </c>
      <c r="G173" s="103">
        <f t="shared" si="293"/>
        <v>4683199.66</v>
      </c>
      <c r="H173" s="109">
        <f>H174-SUM(H162:H172)</f>
        <v>6321327.7199999997</v>
      </c>
      <c r="I173" s="102">
        <f t="shared" si="294"/>
        <v>1264265.55</v>
      </c>
      <c r="J173" s="215">
        <v>20</v>
      </c>
      <c r="K173" s="103">
        <f t="shared" si="295"/>
        <v>7585593.2699999996</v>
      </c>
      <c r="L173" s="103">
        <f>L172</f>
        <v>161567107.00999999</v>
      </c>
      <c r="M173" s="103"/>
      <c r="N173" s="114">
        <f>$I173*имущество!$F$3/имущество!$F$11</f>
        <v>421703.41</v>
      </c>
      <c r="O173" s="102">
        <f>$I173*имущество!$F$4/имущество!$F$11</f>
        <v>408401.47</v>
      </c>
      <c r="P173" s="102">
        <f>$I173*имущество!$F$5/имущество!$F$11</f>
        <v>394420.35</v>
      </c>
      <c r="Q173" s="102">
        <f>$I173*имущество!$F$6/имущество!$F$11</f>
        <v>3820.05</v>
      </c>
      <c r="R173" s="102">
        <f>$I173*имущество!$F$7/имущество!$F$11</f>
        <v>3820.05</v>
      </c>
      <c r="S173" s="102">
        <f>$I173*имущество!$F$8/имущество!$F$11</f>
        <v>3820.05</v>
      </c>
      <c r="T173" s="102">
        <f>$I173*имущество!$F$9/имущество!$F$11</f>
        <v>23179.15</v>
      </c>
      <c r="U173" s="103">
        <f t="shared" si="289"/>
        <v>5101.0200000000004</v>
      </c>
    </row>
    <row r="174" spans="1:21" s="117" customFormat="1" ht="18.75" thickBot="1" x14ac:dyDescent="0.3">
      <c r="A174" s="106">
        <f>A161+1</f>
        <v>2031</v>
      </c>
      <c r="B174" s="115">
        <f t="shared" ref="B174" si="297">SUM(B162:B173)</f>
        <v>29023936.079999998</v>
      </c>
      <c r="C174" s="104">
        <f t="shared" ref="C174" si="298">SUM(C162:C173)</f>
        <v>5804787.2400000002</v>
      </c>
      <c r="D174" s="105">
        <f t="shared" ref="D174" si="299">SUM(D162:D173)</f>
        <v>34828723.32</v>
      </c>
      <c r="E174" s="115">
        <f t="shared" ref="E174" si="300">SUM(E162:E173)</f>
        <v>46831996.119999997</v>
      </c>
      <c r="F174" s="104">
        <f t="shared" ref="F174" si="301">SUM(F162:F173)</f>
        <v>9366399.25</v>
      </c>
      <c r="G174" s="105">
        <f t="shared" ref="G174" si="302">SUM(G162:G173)</f>
        <v>56198395.369999997</v>
      </c>
      <c r="H174" s="110">
        <f>Лист2!E28</f>
        <v>75855932.200000003</v>
      </c>
      <c r="I174" s="104">
        <f t="shared" ref="I174" si="303">SUM(I162:I173)</f>
        <v>15171186.49</v>
      </c>
      <c r="J174" s="216">
        <v>20</v>
      </c>
      <c r="K174" s="105">
        <f t="shared" ref="K174" si="304">SUM(K162:K173)</f>
        <v>91027118.689999998</v>
      </c>
      <c r="L174" s="105">
        <f>L173</f>
        <v>161567107.00999999</v>
      </c>
      <c r="M174" s="105">
        <f>L187</f>
        <v>63744225.57</v>
      </c>
      <c r="N174" s="115">
        <f t="shared" ref="N174" si="305">SUM(N162:N173)</f>
        <v>5060440.92</v>
      </c>
      <c r="O174" s="104">
        <f t="shared" ref="O174" si="306">SUM(O162:O173)</f>
        <v>4900817.53</v>
      </c>
      <c r="P174" s="104">
        <f t="shared" ref="P174" si="307">SUM(P162:P173)</f>
        <v>4733044.2</v>
      </c>
      <c r="Q174" s="104">
        <f t="shared" ref="Q174" si="308">SUM(Q162:Q173)</f>
        <v>45840.6</v>
      </c>
      <c r="R174" s="104">
        <f t="shared" ref="R174" si="309">SUM(R162:R173)</f>
        <v>45840.6</v>
      </c>
      <c r="S174" s="104">
        <f t="shared" ref="S174" si="310">SUM(S162:S173)</f>
        <v>45840.6</v>
      </c>
      <c r="T174" s="104">
        <f t="shared" ref="T174" si="311">SUM(T162:T173)</f>
        <v>278149.8</v>
      </c>
      <c r="U174" s="105">
        <f t="shared" ref="U174" si="312">SUM(U162:U173)</f>
        <v>61212.24</v>
      </c>
    </row>
    <row r="175" spans="1:21" x14ac:dyDescent="0.25">
      <c r="A175" s="147">
        <v>11689</v>
      </c>
      <c r="B175" s="113">
        <f t="shared" ref="B175" si="313">B162</f>
        <v>2418661.34</v>
      </c>
      <c r="C175" s="96">
        <f t="shared" ref="C175:C186" si="314">B175*J175/100</f>
        <v>483732.27</v>
      </c>
      <c r="D175" s="97">
        <f t="shared" ref="D175:D186" si="315">C175+B175</f>
        <v>2902393.61</v>
      </c>
      <c r="E175" s="113">
        <f>H175-B175</f>
        <v>4531903.63</v>
      </c>
      <c r="F175" s="96">
        <f>E175*J175/100</f>
        <v>906380.73</v>
      </c>
      <c r="G175" s="97">
        <f>F175+E175</f>
        <v>5438284.3600000003</v>
      </c>
      <c r="H175" s="108">
        <f>H187/12</f>
        <v>6950564.9699999997</v>
      </c>
      <c r="I175" s="96">
        <f>F175+C175</f>
        <v>1390113</v>
      </c>
      <c r="J175" s="214">
        <v>20</v>
      </c>
      <c r="K175" s="97">
        <f>I175+H175</f>
        <v>8340677.9699999997</v>
      </c>
      <c r="L175" s="97">
        <f>L174-SUM(K171:K173)</f>
        <v>138810327.30000001</v>
      </c>
      <c r="M175" s="97"/>
      <c r="N175" s="113">
        <f>$I175*имущество!$F$3/имущество!$F$11</f>
        <v>463680.59</v>
      </c>
      <c r="O175" s="96">
        <f>$I175*имущество!$F$4/имущество!$F$11</f>
        <v>449054.54</v>
      </c>
      <c r="P175" s="96">
        <f>$I175*имущество!$F$5/имущество!$F$11</f>
        <v>433681.72</v>
      </c>
      <c r="Q175" s="96">
        <f>$I175*имущество!$F$6/имущество!$F$11</f>
        <v>4200.3</v>
      </c>
      <c r="R175" s="96">
        <f>$I175*имущество!$F$7/имущество!$F$11</f>
        <v>4200.3</v>
      </c>
      <c r="S175" s="96">
        <f>$I175*имущество!$F$8/имущество!$F$11</f>
        <v>4200.3</v>
      </c>
      <c r="T175" s="96">
        <f>$I175*имущество!$F$9/имущество!$F$11</f>
        <v>25486.45</v>
      </c>
      <c r="U175" s="97">
        <f t="shared" ref="U175:U186" si="316">I175-SUM(N175:T175)</f>
        <v>5608.8</v>
      </c>
    </row>
    <row r="176" spans="1:21" x14ac:dyDescent="0.25">
      <c r="A176" s="149">
        <v>11720</v>
      </c>
      <c r="B176" s="116">
        <f t="shared" ref="B176:B186" si="317">B175</f>
        <v>2418661.34</v>
      </c>
      <c r="C176" s="95">
        <f t="shared" si="314"/>
        <v>483732.27</v>
      </c>
      <c r="D176" s="98">
        <f t="shared" si="315"/>
        <v>2902393.61</v>
      </c>
      <c r="E176" s="116">
        <f t="shared" ref="E176:E186" si="318">H176-B176</f>
        <v>4531903.63</v>
      </c>
      <c r="F176" s="95">
        <f t="shared" ref="F176:F186" si="319">E176*J176/100</f>
        <v>906380.73</v>
      </c>
      <c r="G176" s="98">
        <f t="shared" ref="G176:G186" si="320">F176+E176</f>
        <v>5438284.3600000003</v>
      </c>
      <c r="H176" s="111">
        <f>H175</f>
        <v>6950564.9699999997</v>
      </c>
      <c r="I176" s="95">
        <f t="shared" ref="I176:I186" si="321">F176+C176</f>
        <v>1390113</v>
      </c>
      <c r="J176" s="217">
        <v>20</v>
      </c>
      <c r="K176" s="98">
        <f t="shared" ref="K176:K186" si="322">I176+H176</f>
        <v>8340677.9699999997</v>
      </c>
      <c r="L176" s="98">
        <f>L175</f>
        <v>138810327.30000001</v>
      </c>
      <c r="M176" s="98"/>
      <c r="N176" s="116">
        <f>$I176*имущество!$F$3/имущество!$F$11</f>
        <v>463680.59</v>
      </c>
      <c r="O176" s="95">
        <f>$I176*имущество!$F$4/имущество!$F$11</f>
        <v>449054.54</v>
      </c>
      <c r="P176" s="95">
        <f>$I176*имущество!$F$5/имущество!$F$11</f>
        <v>433681.72</v>
      </c>
      <c r="Q176" s="95">
        <f>$I176*имущество!$F$6/имущество!$F$11</f>
        <v>4200.3</v>
      </c>
      <c r="R176" s="95">
        <f>$I176*имущество!$F$7/имущество!$F$11</f>
        <v>4200.3</v>
      </c>
      <c r="S176" s="95">
        <f>$I176*имущество!$F$8/имущество!$F$11</f>
        <v>4200.3</v>
      </c>
      <c r="T176" s="95">
        <f>$I176*имущество!$F$9/имущество!$F$11</f>
        <v>25486.45</v>
      </c>
      <c r="U176" s="98">
        <f t="shared" si="316"/>
        <v>5608.8</v>
      </c>
    </row>
    <row r="177" spans="1:21" x14ac:dyDescent="0.25">
      <c r="A177" s="149">
        <v>11749</v>
      </c>
      <c r="B177" s="116">
        <f t="shared" si="317"/>
        <v>2418661.34</v>
      </c>
      <c r="C177" s="95">
        <f t="shared" si="314"/>
        <v>483732.27</v>
      </c>
      <c r="D177" s="98">
        <f t="shared" si="315"/>
        <v>2902393.61</v>
      </c>
      <c r="E177" s="116">
        <f t="shared" si="318"/>
        <v>4531903.63</v>
      </c>
      <c r="F177" s="95">
        <f t="shared" si="319"/>
        <v>906380.73</v>
      </c>
      <c r="G177" s="98">
        <f t="shared" si="320"/>
        <v>5438284.3600000003</v>
      </c>
      <c r="H177" s="111">
        <f t="shared" ref="H177:H185" si="323">H176</f>
        <v>6950564.9699999997</v>
      </c>
      <c r="I177" s="95">
        <f t="shared" si="321"/>
        <v>1390113</v>
      </c>
      <c r="J177" s="217">
        <v>20</v>
      </c>
      <c r="K177" s="98">
        <f t="shared" si="322"/>
        <v>8340677.9699999997</v>
      </c>
      <c r="L177" s="98">
        <f>L176</f>
        <v>138810327.30000001</v>
      </c>
      <c r="M177" s="98"/>
      <c r="N177" s="116">
        <f>$I177*имущество!$F$3/имущество!$F$11</f>
        <v>463680.59</v>
      </c>
      <c r="O177" s="95">
        <f>$I177*имущество!$F$4/имущество!$F$11</f>
        <v>449054.54</v>
      </c>
      <c r="P177" s="95">
        <f>$I177*имущество!$F$5/имущество!$F$11</f>
        <v>433681.72</v>
      </c>
      <c r="Q177" s="95">
        <f>$I177*имущество!$F$6/имущество!$F$11</f>
        <v>4200.3</v>
      </c>
      <c r="R177" s="95">
        <f>$I177*имущество!$F$7/имущество!$F$11</f>
        <v>4200.3</v>
      </c>
      <c r="S177" s="95">
        <f>$I177*имущество!$F$8/имущество!$F$11</f>
        <v>4200.3</v>
      </c>
      <c r="T177" s="95">
        <f>$I177*имущество!$F$9/имущество!$F$11</f>
        <v>25486.45</v>
      </c>
      <c r="U177" s="98">
        <f t="shared" si="316"/>
        <v>5608.8</v>
      </c>
    </row>
    <row r="178" spans="1:21" x14ac:dyDescent="0.25">
      <c r="A178" s="149">
        <v>11780</v>
      </c>
      <c r="B178" s="116">
        <f t="shared" si="317"/>
        <v>2418661.34</v>
      </c>
      <c r="C178" s="95">
        <f t="shared" si="314"/>
        <v>483732.27</v>
      </c>
      <c r="D178" s="98">
        <f t="shared" si="315"/>
        <v>2902393.61</v>
      </c>
      <c r="E178" s="116">
        <f t="shared" si="318"/>
        <v>4531903.63</v>
      </c>
      <c r="F178" s="95">
        <f t="shared" si="319"/>
        <v>906380.73</v>
      </c>
      <c r="G178" s="98">
        <f t="shared" si="320"/>
        <v>5438284.3600000003</v>
      </c>
      <c r="H178" s="111">
        <f t="shared" si="323"/>
        <v>6950564.9699999997</v>
      </c>
      <c r="I178" s="95">
        <f t="shared" si="321"/>
        <v>1390113</v>
      </c>
      <c r="J178" s="217">
        <v>20</v>
      </c>
      <c r="K178" s="98">
        <f t="shared" si="322"/>
        <v>8340677.9699999997</v>
      </c>
      <c r="L178" s="98">
        <f>L177-SUM(K175:K177)</f>
        <v>113788293.39</v>
      </c>
      <c r="M178" s="98"/>
      <c r="N178" s="116">
        <f>$I178*имущество!$F$3/имущество!$F$11</f>
        <v>463680.59</v>
      </c>
      <c r="O178" s="95">
        <f>$I178*имущество!$F$4/имущество!$F$11</f>
        <v>449054.54</v>
      </c>
      <c r="P178" s="95">
        <f>$I178*имущество!$F$5/имущество!$F$11</f>
        <v>433681.72</v>
      </c>
      <c r="Q178" s="95">
        <f>$I178*имущество!$F$6/имущество!$F$11</f>
        <v>4200.3</v>
      </c>
      <c r="R178" s="95">
        <f>$I178*имущество!$F$7/имущество!$F$11</f>
        <v>4200.3</v>
      </c>
      <c r="S178" s="95">
        <f>$I178*имущество!$F$8/имущество!$F$11</f>
        <v>4200.3</v>
      </c>
      <c r="T178" s="95">
        <f>$I178*имущество!$F$9/имущество!$F$11</f>
        <v>25486.45</v>
      </c>
      <c r="U178" s="98">
        <f t="shared" si="316"/>
        <v>5608.8</v>
      </c>
    </row>
    <row r="179" spans="1:21" x14ac:dyDescent="0.25">
      <c r="A179" s="149">
        <v>11810</v>
      </c>
      <c r="B179" s="116">
        <f t="shared" si="317"/>
        <v>2418661.34</v>
      </c>
      <c r="C179" s="95">
        <f t="shared" si="314"/>
        <v>483732.27</v>
      </c>
      <c r="D179" s="98">
        <f t="shared" si="315"/>
        <v>2902393.61</v>
      </c>
      <c r="E179" s="116">
        <f t="shared" si="318"/>
        <v>4531903.63</v>
      </c>
      <c r="F179" s="95">
        <f t="shared" si="319"/>
        <v>906380.73</v>
      </c>
      <c r="G179" s="98">
        <f t="shared" si="320"/>
        <v>5438284.3600000003</v>
      </c>
      <c r="H179" s="111">
        <f t="shared" si="323"/>
        <v>6950564.9699999997</v>
      </c>
      <c r="I179" s="95">
        <f t="shared" si="321"/>
        <v>1390113</v>
      </c>
      <c r="J179" s="217">
        <v>20</v>
      </c>
      <c r="K179" s="98">
        <f t="shared" si="322"/>
        <v>8340677.9699999997</v>
      </c>
      <c r="L179" s="98">
        <f>L178</f>
        <v>113788293.39</v>
      </c>
      <c r="M179" s="98"/>
      <c r="N179" s="116">
        <f>$I179*имущество!$F$3/имущество!$F$11</f>
        <v>463680.59</v>
      </c>
      <c r="O179" s="95">
        <f>$I179*имущество!$F$4/имущество!$F$11</f>
        <v>449054.54</v>
      </c>
      <c r="P179" s="95">
        <f>$I179*имущество!$F$5/имущество!$F$11</f>
        <v>433681.72</v>
      </c>
      <c r="Q179" s="95">
        <f>$I179*имущество!$F$6/имущество!$F$11</f>
        <v>4200.3</v>
      </c>
      <c r="R179" s="95">
        <f>$I179*имущество!$F$7/имущество!$F$11</f>
        <v>4200.3</v>
      </c>
      <c r="S179" s="95">
        <f>$I179*имущество!$F$8/имущество!$F$11</f>
        <v>4200.3</v>
      </c>
      <c r="T179" s="95">
        <f>$I179*имущество!$F$9/имущество!$F$11</f>
        <v>25486.45</v>
      </c>
      <c r="U179" s="98">
        <f t="shared" si="316"/>
        <v>5608.8</v>
      </c>
    </row>
    <row r="180" spans="1:21" x14ac:dyDescent="0.25">
      <c r="A180" s="149">
        <v>11841</v>
      </c>
      <c r="B180" s="116">
        <f t="shared" si="317"/>
        <v>2418661.34</v>
      </c>
      <c r="C180" s="95">
        <f t="shared" si="314"/>
        <v>483732.27</v>
      </c>
      <c r="D180" s="98">
        <f t="shared" si="315"/>
        <v>2902393.61</v>
      </c>
      <c r="E180" s="116">
        <f t="shared" si="318"/>
        <v>4531903.63</v>
      </c>
      <c r="F180" s="95">
        <f t="shared" si="319"/>
        <v>906380.73</v>
      </c>
      <c r="G180" s="98">
        <f t="shared" si="320"/>
        <v>5438284.3600000003</v>
      </c>
      <c r="H180" s="111">
        <f t="shared" si="323"/>
        <v>6950564.9699999997</v>
      </c>
      <c r="I180" s="95">
        <f t="shared" si="321"/>
        <v>1390113</v>
      </c>
      <c r="J180" s="217">
        <v>20</v>
      </c>
      <c r="K180" s="98">
        <f t="shared" si="322"/>
        <v>8340677.9699999997</v>
      </c>
      <c r="L180" s="98">
        <f>L179</f>
        <v>113788293.39</v>
      </c>
      <c r="M180" s="98"/>
      <c r="N180" s="116">
        <f>$I180*имущество!$F$3/имущество!$F$11</f>
        <v>463680.59</v>
      </c>
      <c r="O180" s="95">
        <f>$I180*имущество!$F$4/имущество!$F$11</f>
        <v>449054.54</v>
      </c>
      <c r="P180" s="95">
        <f>$I180*имущество!$F$5/имущество!$F$11</f>
        <v>433681.72</v>
      </c>
      <c r="Q180" s="95">
        <f>$I180*имущество!$F$6/имущество!$F$11</f>
        <v>4200.3</v>
      </c>
      <c r="R180" s="95">
        <f>$I180*имущество!$F$7/имущество!$F$11</f>
        <v>4200.3</v>
      </c>
      <c r="S180" s="95">
        <f>$I180*имущество!$F$8/имущество!$F$11</f>
        <v>4200.3</v>
      </c>
      <c r="T180" s="95">
        <f>$I180*имущество!$F$9/имущество!$F$11</f>
        <v>25486.45</v>
      </c>
      <c r="U180" s="98">
        <f t="shared" si="316"/>
        <v>5608.8</v>
      </c>
    </row>
    <row r="181" spans="1:21" x14ac:dyDescent="0.25">
      <c r="A181" s="149">
        <v>11871</v>
      </c>
      <c r="B181" s="116">
        <f t="shared" si="317"/>
        <v>2418661.34</v>
      </c>
      <c r="C181" s="95">
        <f t="shared" si="314"/>
        <v>483732.27</v>
      </c>
      <c r="D181" s="98">
        <f t="shared" si="315"/>
        <v>2902393.61</v>
      </c>
      <c r="E181" s="116">
        <f t="shared" si="318"/>
        <v>4531903.63</v>
      </c>
      <c r="F181" s="95">
        <f t="shared" si="319"/>
        <v>906380.73</v>
      </c>
      <c r="G181" s="98">
        <f t="shared" si="320"/>
        <v>5438284.3600000003</v>
      </c>
      <c r="H181" s="111">
        <f t="shared" si="323"/>
        <v>6950564.9699999997</v>
      </c>
      <c r="I181" s="95">
        <f t="shared" si="321"/>
        <v>1390113</v>
      </c>
      <c r="J181" s="217">
        <v>20</v>
      </c>
      <c r="K181" s="98">
        <f t="shared" si="322"/>
        <v>8340677.9699999997</v>
      </c>
      <c r="L181" s="98">
        <f>L180-SUM(K178:K180)</f>
        <v>88766259.480000004</v>
      </c>
      <c r="M181" s="98"/>
      <c r="N181" s="116">
        <f>$I181*имущество!$F$3/имущество!$F$11</f>
        <v>463680.59</v>
      </c>
      <c r="O181" s="95">
        <f>$I181*имущество!$F$4/имущество!$F$11</f>
        <v>449054.54</v>
      </c>
      <c r="P181" s="95">
        <f>$I181*имущество!$F$5/имущество!$F$11</f>
        <v>433681.72</v>
      </c>
      <c r="Q181" s="95">
        <f>$I181*имущество!$F$6/имущество!$F$11</f>
        <v>4200.3</v>
      </c>
      <c r="R181" s="95">
        <f>$I181*имущество!$F$7/имущество!$F$11</f>
        <v>4200.3</v>
      </c>
      <c r="S181" s="95">
        <f>$I181*имущество!$F$8/имущество!$F$11</f>
        <v>4200.3</v>
      </c>
      <c r="T181" s="95">
        <f>$I181*имущество!$F$9/имущество!$F$11</f>
        <v>25486.45</v>
      </c>
      <c r="U181" s="98">
        <f t="shared" si="316"/>
        <v>5608.8</v>
      </c>
    </row>
    <row r="182" spans="1:21" x14ac:dyDescent="0.25">
      <c r="A182" s="149">
        <v>11902</v>
      </c>
      <c r="B182" s="116">
        <f t="shared" si="317"/>
        <v>2418661.34</v>
      </c>
      <c r="C182" s="95">
        <f t="shared" si="314"/>
        <v>483732.27</v>
      </c>
      <c r="D182" s="98">
        <f t="shared" si="315"/>
        <v>2902393.61</v>
      </c>
      <c r="E182" s="116">
        <f t="shared" si="318"/>
        <v>4531903.63</v>
      </c>
      <c r="F182" s="95">
        <f t="shared" si="319"/>
        <v>906380.73</v>
      </c>
      <c r="G182" s="98">
        <f t="shared" si="320"/>
        <v>5438284.3600000003</v>
      </c>
      <c r="H182" s="111">
        <f t="shared" si="323"/>
        <v>6950564.9699999997</v>
      </c>
      <c r="I182" s="95">
        <f t="shared" si="321"/>
        <v>1390113</v>
      </c>
      <c r="J182" s="217">
        <v>20</v>
      </c>
      <c r="K182" s="98">
        <f t="shared" si="322"/>
        <v>8340677.9699999997</v>
      </c>
      <c r="L182" s="98">
        <f>L181</f>
        <v>88766259.480000004</v>
      </c>
      <c r="M182" s="98"/>
      <c r="N182" s="116">
        <f>$I182*имущество!$F$3/имущество!$F$11</f>
        <v>463680.59</v>
      </c>
      <c r="O182" s="95">
        <f>$I182*имущество!$F$4/имущество!$F$11</f>
        <v>449054.54</v>
      </c>
      <c r="P182" s="95">
        <f>$I182*имущество!$F$5/имущество!$F$11</f>
        <v>433681.72</v>
      </c>
      <c r="Q182" s="95">
        <f>$I182*имущество!$F$6/имущество!$F$11</f>
        <v>4200.3</v>
      </c>
      <c r="R182" s="95">
        <f>$I182*имущество!$F$7/имущество!$F$11</f>
        <v>4200.3</v>
      </c>
      <c r="S182" s="95">
        <f>$I182*имущество!$F$8/имущество!$F$11</f>
        <v>4200.3</v>
      </c>
      <c r="T182" s="95">
        <f>$I182*имущество!$F$9/имущество!$F$11</f>
        <v>25486.45</v>
      </c>
      <c r="U182" s="98">
        <f t="shared" si="316"/>
        <v>5608.8</v>
      </c>
    </row>
    <row r="183" spans="1:21" x14ac:dyDescent="0.25">
      <c r="A183" s="149">
        <v>11933</v>
      </c>
      <c r="B183" s="116">
        <f t="shared" si="317"/>
        <v>2418661.34</v>
      </c>
      <c r="C183" s="95">
        <f t="shared" si="314"/>
        <v>483732.27</v>
      </c>
      <c r="D183" s="98">
        <f t="shared" si="315"/>
        <v>2902393.61</v>
      </c>
      <c r="E183" s="116">
        <f t="shared" si="318"/>
        <v>4531903.63</v>
      </c>
      <c r="F183" s="95">
        <f t="shared" si="319"/>
        <v>906380.73</v>
      </c>
      <c r="G183" s="98">
        <f t="shared" si="320"/>
        <v>5438284.3600000003</v>
      </c>
      <c r="H183" s="111">
        <f t="shared" si="323"/>
        <v>6950564.9699999997</v>
      </c>
      <c r="I183" s="95">
        <f t="shared" si="321"/>
        <v>1390113</v>
      </c>
      <c r="J183" s="217">
        <v>20</v>
      </c>
      <c r="K183" s="98">
        <f t="shared" si="322"/>
        <v>8340677.9699999997</v>
      </c>
      <c r="L183" s="98">
        <f>L182</f>
        <v>88766259.480000004</v>
      </c>
      <c r="M183" s="98"/>
      <c r="N183" s="116">
        <f>$I183*имущество!$F$3/имущество!$F$11</f>
        <v>463680.59</v>
      </c>
      <c r="O183" s="95">
        <f>$I183*имущество!$F$4/имущество!$F$11</f>
        <v>449054.54</v>
      </c>
      <c r="P183" s="95">
        <f>$I183*имущество!$F$5/имущество!$F$11</f>
        <v>433681.72</v>
      </c>
      <c r="Q183" s="95">
        <f>$I183*имущество!$F$6/имущество!$F$11</f>
        <v>4200.3</v>
      </c>
      <c r="R183" s="95">
        <f>$I183*имущество!$F$7/имущество!$F$11</f>
        <v>4200.3</v>
      </c>
      <c r="S183" s="95">
        <f>$I183*имущество!$F$8/имущество!$F$11</f>
        <v>4200.3</v>
      </c>
      <c r="T183" s="95">
        <f>$I183*имущество!$F$9/имущество!$F$11</f>
        <v>25486.45</v>
      </c>
      <c r="U183" s="98">
        <f t="shared" si="316"/>
        <v>5608.8</v>
      </c>
    </row>
    <row r="184" spans="1:21" x14ac:dyDescent="0.25">
      <c r="A184" s="149">
        <v>11963</v>
      </c>
      <c r="B184" s="116">
        <f t="shared" si="317"/>
        <v>2418661.34</v>
      </c>
      <c r="C184" s="95">
        <f t="shared" si="314"/>
        <v>483732.27</v>
      </c>
      <c r="D184" s="98">
        <f t="shared" si="315"/>
        <v>2902393.61</v>
      </c>
      <c r="E184" s="116">
        <f t="shared" si="318"/>
        <v>4531903.63</v>
      </c>
      <c r="F184" s="95">
        <f t="shared" si="319"/>
        <v>906380.73</v>
      </c>
      <c r="G184" s="98">
        <f t="shared" si="320"/>
        <v>5438284.3600000003</v>
      </c>
      <c r="H184" s="111">
        <f t="shared" si="323"/>
        <v>6950564.9699999997</v>
      </c>
      <c r="I184" s="95">
        <f t="shared" si="321"/>
        <v>1390113</v>
      </c>
      <c r="J184" s="217">
        <v>20</v>
      </c>
      <c r="K184" s="98">
        <f t="shared" si="322"/>
        <v>8340677.9699999997</v>
      </c>
      <c r="L184" s="98">
        <f>L183-SUM(K181:K183)</f>
        <v>63744225.57</v>
      </c>
      <c r="M184" s="98"/>
      <c r="N184" s="116">
        <f>$I184*имущество!$F$3/имущество!$F$11</f>
        <v>463680.59</v>
      </c>
      <c r="O184" s="95">
        <f>$I184*имущество!$F$4/имущество!$F$11</f>
        <v>449054.54</v>
      </c>
      <c r="P184" s="95">
        <f>$I184*имущество!$F$5/имущество!$F$11</f>
        <v>433681.72</v>
      </c>
      <c r="Q184" s="95">
        <f>$I184*имущество!$F$6/имущество!$F$11</f>
        <v>4200.3</v>
      </c>
      <c r="R184" s="95">
        <f>$I184*имущество!$F$7/имущество!$F$11</f>
        <v>4200.3</v>
      </c>
      <c r="S184" s="95">
        <f>$I184*имущество!$F$8/имущество!$F$11</f>
        <v>4200.3</v>
      </c>
      <c r="T184" s="95">
        <f>$I184*имущество!$F$9/имущество!$F$11</f>
        <v>25486.45</v>
      </c>
      <c r="U184" s="98">
        <f t="shared" si="316"/>
        <v>5608.8</v>
      </c>
    </row>
    <row r="185" spans="1:21" x14ac:dyDescent="0.25">
      <c r="A185" s="149">
        <v>11994</v>
      </c>
      <c r="B185" s="116">
        <f t="shared" si="317"/>
        <v>2418661.34</v>
      </c>
      <c r="C185" s="95">
        <f t="shared" si="314"/>
        <v>483732.27</v>
      </c>
      <c r="D185" s="98">
        <f t="shared" si="315"/>
        <v>2902393.61</v>
      </c>
      <c r="E185" s="116">
        <f t="shared" si="318"/>
        <v>4531903.63</v>
      </c>
      <c r="F185" s="95">
        <f t="shared" si="319"/>
        <v>906380.73</v>
      </c>
      <c r="G185" s="98">
        <f t="shared" si="320"/>
        <v>5438284.3600000003</v>
      </c>
      <c r="H185" s="111">
        <f t="shared" si="323"/>
        <v>6950564.9699999997</v>
      </c>
      <c r="I185" s="95">
        <f t="shared" si="321"/>
        <v>1390113</v>
      </c>
      <c r="J185" s="217">
        <v>20</v>
      </c>
      <c r="K185" s="98">
        <f t="shared" si="322"/>
        <v>8340677.9699999997</v>
      </c>
      <c r="L185" s="98">
        <f>L184</f>
        <v>63744225.57</v>
      </c>
      <c r="M185" s="98"/>
      <c r="N185" s="116">
        <f>$I185*имущество!$F$3/имущество!$F$11</f>
        <v>463680.59</v>
      </c>
      <c r="O185" s="95">
        <f>$I185*имущество!$F$4/имущество!$F$11</f>
        <v>449054.54</v>
      </c>
      <c r="P185" s="95">
        <f>$I185*имущество!$F$5/имущество!$F$11</f>
        <v>433681.72</v>
      </c>
      <c r="Q185" s="95">
        <f>$I185*имущество!$F$6/имущество!$F$11</f>
        <v>4200.3</v>
      </c>
      <c r="R185" s="95">
        <f>$I185*имущество!$F$7/имущество!$F$11</f>
        <v>4200.3</v>
      </c>
      <c r="S185" s="95">
        <f>$I185*имущество!$F$8/имущество!$F$11</f>
        <v>4200.3</v>
      </c>
      <c r="T185" s="95">
        <f>$I185*имущество!$F$9/имущество!$F$11</f>
        <v>25486.45</v>
      </c>
      <c r="U185" s="98">
        <f t="shared" si="316"/>
        <v>5608.8</v>
      </c>
    </row>
    <row r="186" spans="1:21" ht="18.75" thickBot="1" x14ac:dyDescent="0.3">
      <c r="A186" s="148">
        <v>12024</v>
      </c>
      <c r="B186" s="114">
        <f t="shared" si="317"/>
        <v>2418661.34</v>
      </c>
      <c r="C186" s="102">
        <f t="shared" si="314"/>
        <v>483732.27</v>
      </c>
      <c r="D186" s="103">
        <f t="shared" si="315"/>
        <v>2902393.61</v>
      </c>
      <c r="E186" s="114">
        <f t="shared" si="318"/>
        <v>4531903.6500000004</v>
      </c>
      <c r="F186" s="102">
        <f t="shared" si="319"/>
        <v>906380.73</v>
      </c>
      <c r="G186" s="103">
        <f t="shared" si="320"/>
        <v>5438284.3799999999</v>
      </c>
      <c r="H186" s="109">
        <f>H187-SUM(H175:H185)</f>
        <v>6950564.9900000002</v>
      </c>
      <c r="I186" s="102">
        <f t="shared" si="321"/>
        <v>1390113</v>
      </c>
      <c r="J186" s="215">
        <v>20</v>
      </c>
      <c r="K186" s="103">
        <f t="shared" si="322"/>
        <v>8340677.9900000002</v>
      </c>
      <c r="L186" s="103">
        <f>L185</f>
        <v>63744225.57</v>
      </c>
      <c r="M186" s="103"/>
      <c r="N186" s="114">
        <f>$I186*имущество!$F$3/имущество!$F$11</f>
        <v>463680.59</v>
      </c>
      <c r="O186" s="102">
        <f>$I186*имущество!$F$4/имущество!$F$11</f>
        <v>449054.54</v>
      </c>
      <c r="P186" s="102">
        <f>$I186*имущество!$F$5/имущество!$F$11</f>
        <v>433681.72</v>
      </c>
      <c r="Q186" s="102">
        <f>$I186*имущество!$F$6/имущество!$F$11</f>
        <v>4200.3</v>
      </c>
      <c r="R186" s="102">
        <f>$I186*имущество!$F$7/имущество!$F$11</f>
        <v>4200.3</v>
      </c>
      <c r="S186" s="102">
        <f>$I186*имущество!$F$8/имущество!$F$11</f>
        <v>4200.3</v>
      </c>
      <c r="T186" s="102">
        <f>$I186*имущество!$F$9/имущество!$F$11</f>
        <v>25486.45</v>
      </c>
      <c r="U186" s="103">
        <f t="shared" si="316"/>
        <v>5608.8</v>
      </c>
    </row>
    <row r="187" spans="1:21" s="117" customFormat="1" ht="18.75" thickBot="1" x14ac:dyDescent="0.3">
      <c r="A187" s="106">
        <f>A174+1</f>
        <v>2032</v>
      </c>
      <c r="B187" s="115">
        <f t="shared" ref="B187" si="324">SUM(B175:B186)</f>
        <v>29023936.079999998</v>
      </c>
      <c r="C187" s="104">
        <f t="shared" ref="C187" si="325">SUM(C175:C186)</f>
        <v>5804787.2400000002</v>
      </c>
      <c r="D187" s="105">
        <f t="shared" ref="D187" si="326">SUM(D175:D186)</f>
        <v>34828723.32</v>
      </c>
      <c r="E187" s="115">
        <f t="shared" ref="E187" si="327">SUM(E175:E186)</f>
        <v>54382843.579999998</v>
      </c>
      <c r="F187" s="104">
        <f t="shared" ref="F187" si="328">SUM(F175:F186)</f>
        <v>10876568.76</v>
      </c>
      <c r="G187" s="105">
        <f t="shared" ref="G187" si="329">SUM(G175:G186)</f>
        <v>65259412.340000004</v>
      </c>
      <c r="H187" s="110">
        <f>Лист2!E29</f>
        <v>83406779.659999996</v>
      </c>
      <c r="I187" s="104">
        <f t="shared" ref="I187" si="330">SUM(I175:I186)</f>
        <v>16681356</v>
      </c>
      <c r="J187" s="216">
        <v>20</v>
      </c>
      <c r="K187" s="105">
        <f t="shared" ref="K187" si="331">SUM(K175:K186)</f>
        <v>100088135.66</v>
      </c>
      <c r="L187" s="105">
        <f>L186</f>
        <v>63744225.57</v>
      </c>
      <c r="M187" s="105">
        <f>L200</f>
        <v>3872219.2</v>
      </c>
      <c r="N187" s="115">
        <f t="shared" ref="N187" si="332">SUM(N175:N186)</f>
        <v>5564167.0800000001</v>
      </c>
      <c r="O187" s="104">
        <f t="shared" ref="O187" si="333">SUM(O175:O186)</f>
        <v>5388654.4800000004</v>
      </c>
      <c r="P187" s="104">
        <f t="shared" ref="P187" si="334">SUM(P175:P186)</f>
        <v>5204180.6399999997</v>
      </c>
      <c r="Q187" s="104">
        <f t="shared" ref="Q187" si="335">SUM(Q175:Q186)</f>
        <v>50403.6</v>
      </c>
      <c r="R187" s="104">
        <f t="shared" ref="R187" si="336">SUM(R175:R186)</f>
        <v>50403.6</v>
      </c>
      <c r="S187" s="104">
        <f t="shared" ref="S187" si="337">SUM(S175:S186)</f>
        <v>50403.6</v>
      </c>
      <c r="T187" s="104">
        <f t="shared" ref="T187" si="338">SUM(T175:T186)</f>
        <v>305837.40000000002</v>
      </c>
      <c r="U187" s="105">
        <f t="shared" ref="U187" si="339">SUM(U175:U186)</f>
        <v>67305.600000000006</v>
      </c>
    </row>
    <row r="188" spans="1:21" x14ac:dyDescent="0.25">
      <c r="A188" s="149">
        <v>12055</v>
      </c>
      <c r="B188" s="116">
        <f>B186</f>
        <v>2418661.34</v>
      </c>
      <c r="C188" s="95">
        <f t="shared" ref="C188:C197" si="340">B188*J188/100</f>
        <v>483732.27</v>
      </c>
      <c r="D188" s="98">
        <f t="shared" ref="D188:D197" si="341">C188+B188</f>
        <v>2902393.61</v>
      </c>
      <c r="E188" s="116">
        <f t="shared" ref="E188:E197" si="342">H188-B188</f>
        <v>808187.96</v>
      </c>
      <c r="F188" s="95">
        <f t="shared" ref="F188:F197" si="343">E188*J188/100</f>
        <v>161637.59</v>
      </c>
      <c r="G188" s="98">
        <f t="shared" ref="G188:G197" si="344">F188+E188</f>
        <v>969825.55</v>
      </c>
      <c r="H188" s="111">
        <f>H200/10</f>
        <v>3226849.3</v>
      </c>
      <c r="I188" s="95">
        <f t="shared" ref="I188:I197" si="345">F188+C188</f>
        <v>645369.86</v>
      </c>
      <c r="J188" s="217">
        <v>20</v>
      </c>
      <c r="K188" s="98">
        <f t="shared" ref="K188:K197" si="346">I188+H188</f>
        <v>3872219.16</v>
      </c>
      <c r="L188" s="98">
        <f>L187-SUM(K184:K186)</f>
        <v>38722191.640000001</v>
      </c>
      <c r="M188" s="98"/>
      <c r="N188" s="113">
        <f>$I188*имущество!$F$3/имущество!$F$11</f>
        <v>215267.01</v>
      </c>
      <c r="O188" s="95">
        <f>$I188*имущество!$F$4/имущество!$F$11</f>
        <v>208476.77</v>
      </c>
      <c r="P188" s="95">
        <f>$I188*имущество!$F$5/имущество!$F$11</f>
        <v>201339.83</v>
      </c>
      <c r="Q188" s="95">
        <f>$I188*имущество!$F$6/имущество!$F$11</f>
        <v>1950.02</v>
      </c>
      <c r="R188" s="95">
        <f>$I188*имущество!$F$7/имущество!$F$11</f>
        <v>1950.02</v>
      </c>
      <c r="S188" s="95">
        <f>$I188*имущество!$F$8/имущество!$F$11</f>
        <v>1950.02</v>
      </c>
      <c r="T188" s="95">
        <f>$I188*имущество!$F$9/имущество!$F$11</f>
        <v>11832.27</v>
      </c>
      <c r="U188" s="98">
        <f t="shared" ref="U188:U199" si="347">I188-SUM(N188:T188)</f>
        <v>2603.92</v>
      </c>
    </row>
    <row r="189" spans="1:21" x14ac:dyDescent="0.25">
      <c r="A189" s="149">
        <v>12086</v>
      </c>
      <c r="B189" s="116">
        <f>B188</f>
        <v>2418661.34</v>
      </c>
      <c r="C189" s="95">
        <f t="shared" si="340"/>
        <v>483732.27</v>
      </c>
      <c r="D189" s="98">
        <f t="shared" si="341"/>
        <v>2902393.61</v>
      </c>
      <c r="E189" s="116">
        <f t="shared" si="342"/>
        <v>808187.96</v>
      </c>
      <c r="F189" s="95">
        <f t="shared" si="343"/>
        <v>161637.59</v>
      </c>
      <c r="G189" s="98">
        <f t="shared" si="344"/>
        <v>969825.55</v>
      </c>
      <c r="H189" s="111">
        <f>H188</f>
        <v>3226849.3</v>
      </c>
      <c r="I189" s="95">
        <f t="shared" si="345"/>
        <v>645369.86</v>
      </c>
      <c r="J189" s="217">
        <v>20</v>
      </c>
      <c r="K189" s="98">
        <f t="shared" si="346"/>
        <v>3872219.16</v>
      </c>
      <c r="L189" s="98">
        <f>L188</f>
        <v>38722191.640000001</v>
      </c>
      <c r="M189" s="98"/>
      <c r="N189" s="116">
        <f>$I189*имущество!$F$3/имущество!$F$11</f>
        <v>215267.01</v>
      </c>
      <c r="O189" s="95">
        <f>$I189*имущество!$F$4/имущество!$F$11</f>
        <v>208476.77</v>
      </c>
      <c r="P189" s="95">
        <f>$I189*имущество!$F$5/имущество!$F$11</f>
        <v>201339.83</v>
      </c>
      <c r="Q189" s="95">
        <f>$I189*имущество!$F$6/имущество!$F$11</f>
        <v>1950.02</v>
      </c>
      <c r="R189" s="95">
        <f>$I189*имущество!$F$7/имущество!$F$11</f>
        <v>1950.02</v>
      </c>
      <c r="S189" s="95">
        <f>$I189*имущество!$F$8/имущество!$F$11</f>
        <v>1950.02</v>
      </c>
      <c r="T189" s="95">
        <f>$I189*имущество!$F$9/имущество!$F$11</f>
        <v>11832.27</v>
      </c>
      <c r="U189" s="98">
        <f t="shared" si="347"/>
        <v>2603.92</v>
      </c>
    </row>
    <row r="190" spans="1:21" x14ac:dyDescent="0.25">
      <c r="A190" s="149">
        <v>12114</v>
      </c>
      <c r="B190" s="116">
        <f t="shared" ref="B190:B196" si="348">B189</f>
        <v>2418661.34</v>
      </c>
      <c r="C190" s="95">
        <f t="shared" si="340"/>
        <v>483732.27</v>
      </c>
      <c r="D190" s="98">
        <f t="shared" si="341"/>
        <v>2902393.61</v>
      </c>
      <c r="E190" s="116">
        <f t="shared" si="342"/>
        <v>808187.96</v>
      </c>
      <c r="F190" s="95">
        <f t="shared" si="343"/>
        <v>161637.59</v>
      </c>
      <c r="G190" s="98">
        <f t="shared" si="344"/>
        <v>969825.55</v>
      </c>
      <c r="H190" s="111">
        <f t="shared" ref="H190:H196" si="349">H189</f>
        <v>3226849.3</v>
      </c>
      <c r="I190" s="95">
        <f t="shared" si="345"/>
        <v>645369.86</v>
      </c>
      <c r="J190" s="217">
        <v>20</v>
      </c>
      <c r="K190" s="98">
        <f t="shared" si="346"/>
        <v>3872219.16</v>
      </c>
      <c r="L190" s="98">
        <f>L189</f>
        <v>38722191.640000001</v>
      </c>
      <c r="M190" s="98"/>
      <c r="N190" s="116">
        <f>$I190*имущество!$F$3/имущество!$F$11</f>
        <v>215267.01</v>
      </c>
      <c r="O190" s="95">
        <f>$I190*имущество!$F$4/имущество!$F$11</f>
        <v>208476.77</v>
      </c>
      <c r="P190" s="95">
        <f>$I190*имущество!$F$5/имущество!$F$11</f>
        <v>201339.83</v>
      </c>
      <c r="Q190" s="95">
        <f>$I190*имущество!$F$6/имущество!$F$11</f>
        <v>1950.02</v>
      </c>
      <c r="R190" s="95">
        <f>$I190*имущество!$F$7/имущество!$F$11</f>
        <v>1950.02</v>
      </c>
      <c r="S190" s="95">
        <f>$I190*имущество!$F$8/имущество!$F$11</f>
        <v>1950.02</v>
      </c>
      <c r="T190" s="95">
        <f>$I190*имущество!$F$9/имущество!$F$11</f>
        <v>11832.27</v>
      </c>
      <c r="U190" s="98">
        <f t="shared" si="347"/>
        <v>2603.92</v>
      </c>
    </row>
    <row r="191" spans="1:21" x14ac:dyDescent="0.25">
      <c r="A191" s="149">
        <v>12145</v>
      </c>
      <c r="B191" s="116">
        <f t="shared" si="348"/>
        <v>2418661.34</v>
      </c>
      <c r="C191" s="95">
        <f t="shared" si="340"/>
        <v>483732.27</v>
      </c>
      <c r="D191" s="98">
        <f t="shared" si="341"/>
        <v>2902393.61</v>
      </c>
      <c r="E191" s="116">
        <f t="shared" si="342"/>
        <v>808187.96</v>
      </c>
      <c r="F191" s="95">
        <f t="shared" si="343"/>
        <v>161637.59</v>
      </c>
      <c r="G191" s="98">
        <f t="shared" si="344"/>
        <v>969825.55</v>
      </c>
      <c r="H191" s="111">
        <f t="shared" si="349"/>
        <v>3226849.3</v>
      </c>
      <c r="I191" s="95">
        <f t="shared" si="345"/>
        <v>645369.86</v>
      </c>
      <c r="J191" s="217">
        <v>20</v>
      </c>
      <c r="K191" s="98">
        <f t="shared" si="346"/>
        <v>3872219.16</v>
      </c>
      <c r="L191" s="98">
        <f>L190-SUM(K188:K190)</f>
        <v>27105534.16</v>
      </c>
      <c r="M191" s="98"/>
      <c r="N191" s="116">
        <f>$I191*имущество!$F$3/имущество!$F$11</f>
        <v>215267.01</v>
      </c>
      <c r="O191" s="95">
        <f>$I191*имущество!$F$4/имущество!$F$11</f>
        <v>208476.77</v>
      </c>
      <c r="P191" s="95">
        <f>$I191*имущество!$F$5/имущество!$F$11</f>
        <v>201339.83</v>
      </c>
      <c r="Q191" s="95">
        <f>$I191*имущество!$F$6/имущество!$F$11</f>
        <v>1950.02</v>
      </c>
      <c r="R191" s="95">
        <f>$I191*имущество!$F$7/имущество!$F$11</f>
        <v>1950.02</v>
      </c>
      <c r="S191" s="95">
        <f>$I191*имущество!$F$8/имущество!$F$11</f>
        <v>1950.02</v>
      </c>
      <c r="T191" s="95">
        <f>$I191*имущество!$F$9/имущество!$F$11</f>
        <v>11832.27</v>
      </c>
      <c r="U191" s="98">
        <f t="shared" si="347"/>
        <v>2603.92</v>
      </c>
    </row>
    <row r="192" spans="1:21" x14ac:dyDescent="0.25">
      <c r="A192" s="149">
        <v>12175</v>
      </c>
      <c r="B192" s="116">
        <f t="shared" si="348"/>
        <v>2418661.34</v>
      </c>
      <c r="C192" s="95">
        <f t="shared" si="340"/>
        <v>483732.27</v>
      </c>
      <c r="D192" s="98">
        <f t="shared" si="341"/>
        <v>2902393.61</v>
      </c>
      <c r="E192" s="116">
        <f t="shared" si="342"/>
        <v>808187.96</v>
      </c>
      <c r="F192" s="95">
        <f t="shared" si="343"/>
        <v>161637.59</v>
      </c>
      <c r="G192" s="98">
        <f t="shared" si="344"/>
        <v>969825.55</v>
      </c>
      <c r="H192" s="111">
        <f t="shared" si="349"/>
        <v>3226849.3</v>
      </c>
      <c r="I192" s="95">
        <f t="shared" si="345"/>
        <v>645369.86</v>
      </c>
      <c r="J192" s="217">
        <v>20</v>
      </c>
      <c r="K192" s="98">
        <f t="shared" si="346"/>
        <v>3872219.16</v>
      </c>
      <c r="L192" s="98">
        <f>L191</f>
        <v>27105534.16</v>
      </c>
      <c r="M192" s="98"/>
      <c r="N192" s="116">
        <f>$I192*имущество!$F$3/имущество!$F$11</f>
        <v>215267.01</v>
      </c>
      <c r="O192" s="95">
        <f>$I192*имущество!$F$4/имущество!$F$11</f>
        <v>208476.77</v>
      </c>
      <c r="P192" s="95">
        <f>$I192*имущество!$F$5/имущество!$F$11</f>
        <v>201339.83</v>
      </c>
      <c r="Q192" s="95">
        <f>$I192*имущество!$F$6/имущество!$F$11</f>
        <v>1950.02</v>
      </c>
      <c r="R192" s="95">
        <f>$I192*имущество!$F$7/имущество!$F$11</f>
        <v>1950.02</v>
      </c>
      <c r="S192" s="95">
        <f>$I192*имущество!$F$8/имущество!$F$11</f>
        <v>1950.02</v>
      </c>
      <c r="T192" s="95">
        <f>$I192*имущество!$F$9/имущество!$F$11</f>
        <v>11832.27</v>
      </c>
      <c r="U192" s="98">
        <f t="shared" si="347"/>
        <v>2603.92</v>
      </c>
    </row>
    <row r="193" spans="1:21" x14ac:dyDescent="0.25">
      <c r="A193" s="149">
        <v>12206</v>
      </c>
      <c r="B193" s="116">
        <f t="shared" si="348"/>
        <v>2418661.34</v>
      </c>
      <c r="C193" s="95">
        <f t="shared" si="340"/>
        <v>483732.27</v>
      </c>
      <c r="D193" s="98">
        <f t="shared" si="341"/>
        <v>2902393.61</v>
      </c>
      <c r="E193" s="116">
        <f t="shared" si="342"/>
        <v>808187.96</v>
      </c>
      <c r="F193" s="95">
        <f t="shared" si="343"/>
        <v>161637.59</v>
      </c>
      <c r="G193" s="98">
        <f t="shared" si="344"/>
        <v>969825.55</v>
      </c>
      <c r="H193" s="111">
        <f t="shared" si="349"/>
        <v>3226849.3</v>
      </c>
      <c r="I193" s="95">
        <f t="shared" si="345"/>
        <v>645369.86</v>
      </c>
      <c r="J193" s="217">
        <v>20</v>
      </c>
      <c r="K193" s="98">
        <f t="shared" si="346"/>
        <v>3872219.16</v>
      </c>
      <c r="L193" s="98">
        <f>L192</f>
        <v>27105534.16</v>
      </c>
      <c r="M193" s="98"/>
      <c r="N193" s="116">
        <f>$I193*имущество!$F$3/имущество!$F$11</f>
        <v>215267.01</v>
      </c>
      <c r="O193" s="95">
        <f>$I193*имущество!$F$4/имущество!$F$11</f>
        <v>208476.77</v>
      </c>
      <c r="P193" s="95">
        <f>$I193*имущество!$F$5/имущество!$F$11</f>
        <v>201339.83</v>
      </c>
      <c r="Q193" s="95">
        <f>$I193*имущество!$F$6/имущество!$F$11</f>
        <v>1950.02</v>
      </c>
      <c r="R193" s="95">
        <f>$I193*имущество!$F$7/имущество!$F$11</f>
        <v>1950.02</v>
      </c>
      <c r="S193" s="95">
        <f>$I193*имущество!$F$8/имущество!$F$11</f>
        <v>1950.02</v>
      </c>
      <c r="T193" s="95">
        <f>$I193*имущество!$F$9/имущество!$F$11</f>
        <v>11832.27</v>
      </c>
      <c r="U193" s="98">
        <f t="shared" si="347"/>
        <v>2603.92</v>
      </c>
    </row>
    <row r="194" spans="1:21" x14ac:dyDescent="0.25">
      <c r="A194" s="149">
        <v>12236</v>
      </c>
      <c r="B194" s="116">
        <f t="shared" si="348"/>
        <v>2418661.34</v>
      </c>
      <c r="C194" s="95">
        <f t="shared" si="340"/>
        <v>483732.27</v>
      </c>
      <c r="D194" s="98">
        <f t="shared" si="341"/>
        <v>2902393.61</v>
      </c>
      <c r="E194" s="116">
        <f t="shared" si="342"/>
        <v>808187.96</v>
      </c>
      <c r="F194" s="95">
        <f t="shared" si="343"/>
        <v>161637.59</v>
      </c>
      <c r="G194" s="98">
        <f t="shared" si="344"/>
        <v>969825.55</v>
      </c>
      <c r="H194" s="111">
        <f t="shared" si="349"/>
        <v>3226849.3</v>
      </c>
      <c r="I194" s="95">
        <f t="shared" si="345"/>
        <v>645369.86</v>
      </c>
      <c r="J194" s="217">
        <v>20</v>
      </c>
      <c r="K194" s="98">
        <f t="shared" si="346"/>
        <v>3872219.16</v>
      </c>
      <c r="L194" s="98">
        <f>L193-SUM(K191:K193)</f>
        <v>15488876.68</v>
      </c>
      <c r="M194" s="98"/>
      <c r="N194" s="116">
        <f>$I194*имущество!$F$3/имущество!$F$11</f>
        <v>215267.01</v>
      </c>
      <c r="O194" s="95">
        <f>$I194*имущество!$F$4/имущество!$F$11</f>
        <v>208476.77</v>
      </c>
      <c r="P194" s="95">
        <f>$I194*имущество!$F$5/имущество!$F$11</f>
        <v>201339.83</v>
      </c>
      <c r="Q194" s="95">
        <f>$I194*имущество!$F$6/имущество!$F$11</f>
        <v>1950.02</v>
      </c>
      <c r="R194" s="95">
        <f>$I194*имущество!$F$7/имущество!$F$11</f>
        <v>1950.02</v>
      </c>
      <c r="S194" s="95">
        <f>$I194*имущество!$F$8/имущество!$F$11</f>
        <v>1950.02</v>
      </c>
      <c r="T194" s="95">
        <f>$I194*имущество!$F$9/имущество!$F$11</f>
        <v>11832.27</v>
      </c>
      <c r="U194" s="98">
        <f t="shared" si="347"/>
        <v>2603.92</v>
      </c>
    </row>
    <row r="195" spans="1:21" x14ac:dyDescent="0.25">
      <c r="A195" s="149">
        <v>12267</v>
      </c>
      <c r="B195" s="116">
        <f t="shared" si="348"/>
        <v>2418661.34</v>
      </c>
      <c r="C195" s="95">
        <f t="shared" si="340"/>
        <v>483732.27</v>
      </c>
      <c r="D195" s="98">
        <f t="shared" si="341"/>
        <v>2902393.61</v>
      </c>
      <c r="E195" s="116">
        <f t="shared" si="342"/>
        <v>808187.96</v>
      </c>
      <c r="F195" s="95">
        <f t="shared" si="343"/>
        <v>161637.59</v>
      </c>
      <c r="G195" s="98">
        <f t="shared" si="344"/>
        <v>969825.55</v>
      </c>
      <c r="H195" s="111">
        <f t="shared" si="349"/>
        <v>3226849.3</v>
      </c>
      <c r="I195" s="95">
        <f t="shared" si="345"/>
        <v>645369.86</v>
      </c>
      <c r="J195" s="217">
        <v>20</v>
      </c>
      <c r="K195" s="98">
        <f t="shared" si="346"/>
        <v>3872219.16</v>
      </c>
      <c r="L195" s="98">
        <f>L194</f>
        <v>15488876.68</v>
      </c>
      <c r="M195" s="98"/>
      <c r="N195" s="116">
        <f>$I195*имущество!$F$3/имущество!$F$11</f>
        <v>215267.01</v>
      </c>
      <c r="O195" s="95">
        <f>$I195*имущество!$F$4/имущество!$F$11</f>
        <v>208476.77</v>
      </c>
      <c r="P195" s="95">
        <f>$I195*имущество!$F$5/имущество!$F$11</f>
        <v>201339.83</v>
      </c>
      <c r="Q195" s="95">
        <f>$I195*имущество!$F$6/имущество!$F$11</f>
        <v>1950.02</v>
      </c>
      <c r="R195" s="95">
        <f>$I195*имущество!$F$7/имущество!$F$11</f>
        <v>1950.02</v>
      </c>
      <c r="S195" s="95">
        <f>$I195*имущество!$F$8/имущество!$F$11</f>
        <v>1950.02</v>
      </c>
      <c r="T195" s="95">
        <f>$I195*имущество!$F$9/имущество!$F$11</f>
        <v>11832.27</v>
      </c>
      <c r="U195" s="98">
        <f t="shared" si="347"/>
        <v>2603.92</v>
      </c>
    </row>
    <row r="196" spans="1:21" x14ac:dyDescent="0.25">
      <c r="A196" s="149">
        <v>12298</v>
      </c>
      <c r="B196" s="116">
        <f t="shared" si="348"/>
        <v>2418661.34</v>
      </c>
      <c r="C196" s="95">
        <f t="shared" si="340"/>
        <v>483732.27</v>
      </c>
      <c r="D196" s="98">
        <f t="shared" si="341"/>
        <v>2902393.61</v>
      </c>
      <c r="E196" s="116">
        <f t="shared" si="342"/>
        <v>808187.96</v>
      </c>
      <c r="F196" s="95">
        <f t="shared" si="343"/>
        <v>161637.59</v>
      </c>
      <c r="G196" s="98">
        <f t="shared" si="344"/>
        <v>969825.55</v>
      </c>
      <c r="H196" s="111">
        <f t="shared" si="349"/>
        <v>3226849.3</v>
      </c>
      <c r="I196" s="95">
        <f t="shared" si="345"/>
        <v>645369.86</v>
      </c>
      <c r="J196" s="217">
        <v>20</v>
      </c>
      <c r="K196" s="98">
        <f t="shared" si="346"/>
        <v>3872219.16</v>
      </c>
      <c r="L196" s="98">
        <f>L195</f>
        <v>15488876.68</v>
      </c>
      <c r="M196" s="98"/>
      <c r="N196" s="116">
        <f>$I196*имущество!$F$3/имущество!$F$11</f>
        <v>215267.01</v>
      </c>
      <c r="O196" s="95">
        <f>$I196*имущество!$F$4/имущество!$F$11</f>
        <v>208476.77</v>
      </c>
      <c r="P196" s="95">
        <f>$I196*имущество!$F$5/имущество!$F$11</f>
        <v>201339.83</v>
      </c>
      <c r="Q196" s="95">
        <f>$I196*имущество!$F$6/имущество!$F$11</f>
        <v>1950.02</v>
      </c>
      <c r="R196" s="95">
        <f>$I196*имущество!$F$7/имущество!$F$11</f>
        <v>1950.02</v>
      </c>
      <c r="S196" s="95">
        <f>$I196*имущество!$F$8/имущество!$F$11</f>
        <v>1950.02</v>
      </c>
      <c r="T196" s="95">
        <f>$I196*имущество!$F$9/имущество!$F$11</f>
        <v>11832.27</v>
      </c>
      <c r="U196" s="98">
        <f t="shared" si="347"/>
        <v>2603.92</v>
      </c>
    </row>
    <row r="197" spans="1:21" x14ac:dyDescent="0.25">
      <c r="A197" s="149">
        <v>12328</v>
      </c>
      <c r="B197" s="116">
        <f>B196+0.33</f>
        <v>2418661.67</v>
      </c>
      <c r="C197" s="95">
        <f t="shared" si="340"/>
        <v>483732.33</v>
      </c>
      <c r="D197" s="98">
        <f t="shared" si="341"/>
        <v>2902394</v>
      </c>
      <c r="E197" s="116">
        <f t="shared" si="342"/>
        <v>808187.67</v>
      </c>
      <c r="F197" s="95">
        <f t="shared" si="343"/>
        <v>161637.53</v>
      </c>
      <c r="G197" s="98">
        <f t="shared" si="344"/>
        <v>969825.2</v>
      </c>
      <c r="H197" s="111">
        <f>H200-SUM(H188:H196)</f>
        <v>3226849.34</v>
      </c>
      <c r="I197" s="95">
        <f t="shared" si="345"/>
        <v>645369.86</v>
      </c>
      <c r="J197" s="217">
        <v>20</v>
      </c>
      <c r="K197" s="98">
        <f t="shared" si="346"/>
        <v>3872219.2</v>
      </c>
      <c r="L197" s="98">
        <f>L196-SUM(K194:K196)</f>
        <v>3872219.2</v>
      </c>
      <c r="M197" s="98"/>
      <c r="N197" s="116">
        <f>$I197*имущество!$F$3/имущество!$F$11</f>
        <v>215267.01</v>
      </c>
      <c r="O197" s="95">
        <f>$I197*имущество!$F$4/имущество!$F$11</f>
        <v>208476.77</v>
      </c>
      <c r="P197" s="95">
        <f>$I197*имущество!$F$5/имущество!$F$11</f>
        <v>201339.83</v>
      </c>
      <c r="Q197" s="95">
        <f>$I197*имущество!$F$6/имущество!$F$11</f>
        <v>1950.02</v>
      </c>
      <c r="R197" s="95">
        <f>$I197*имущество!$F$7/имущество!$F$11</f>
        <v>1950.02</v>
      </c>
      <c r="S197" s="95">
        <f>$I197*имущество!$F$8/имущество!$F$11</f>
        <v>1950.02</v>
      </c>
      <c r="T197" s="95">
        <f>$I197*имущество!$F$9/имущество!$F$11</f>
        <v>11832.27</v>
      </c>
      <c r="U197" s="98">
        <f t="shared" si="347"/>
        <v>2603.92</v>
      </c>
    </row>
    <row r="198" spans="1:21" x14ac:dyDescent="0.25">
      <c r="A198" s="149">
        <v>12359</v>
      </c>
      <c r="B198" s="116">
        <v>0</v>
      </c>
      <c r="C198" s="95">
        <v>0</v>
      </c>
      <c r="D198" s="98">
        <v>0</v>
      </c>
      <c r="E198" s="116">
        <v>0</v>
      </c>
      <c r="F198" s="95">
        <v>0</v>
      </c>
      <c r="G198" s="98">
        <v>0</v>
      </c>
      <c r="H198" s="111">
        <v>0</v>
      </c>
      <c r="I198" s="95">
        <v>0</v>
      </c>
      <c r="J198" s="217">
        <v>0</v>
      </c>
      <c r="K198" s="98">
        <v>0</v>
      </c>
      <c r="L198" s="98">
        <f>L197</f>
        <v>3872219.2</v>
      </c>
      <c r="M198" s="98"/>
      <c r="N198" s="116">
        <f>$I198*имущество!$F$3/имущество!$F$11</f>
        <v>0</v>
      </c>
      <c r="O198" s="95">
        <f>$I198*имущество!$F$4/имущество!$F$11</f>
        <v>0</v>
      </c>
      <c r="P198" s="95">
        <f>$I198*имущество!$F$5/имущество!$F$11</f>
        <v>0</v>
      </c>
      <c r="Q198" s="95">
        <f>$I198*имущество!$F$6/имущество!$F$11</f>
        <v>0</v>
      </c>
      <c r="R198" s="95">
        <f>$I198*имущество!$F$7/имущество!$F$11</f>
        <v>0</v>
      </c>
      <c r="S198" s="95">
        <f>$I198*имущество!$F$8/имущество!$F$11</f>
        <v>0</v>
      </c>
      <c r="T198" s="95">
        <f>$I198*имущество!$F$9/имущество!$F$11</f>
        <v>0</v>
      </c>
      <c r="U198" s="98">
        <f t="shared" si="347"/>
        <v>0</v>
      </c>
    </row>
    <row r="199" spans="1:21" ht="18.75" thickBot="1" x14ac:dyDescent="0.3">
      <c r="A199" s="149">
        <v>12389</v>
      </c>
      <c r="B199" s="116">
        <v>0</v>
      </c>
      <c r="C199" s="95">
        <v>0</v>
      </c>
      <c r="D199" s="98">
        <v>0</v>
      </c>
      <c r="E199" s="116">
        <v>0</v>
      </c>
      <c r="F199" s="95">
        <v>0</v>
      </c>
      <c r="G199" s="98">
        <v>0</v>
      </c>
      <c r="H199" s="111">
        <v>0</v>
      </c>
      <c r="I199" s="95">
        <v>0</v>
      </c>
      <c r="J199" s="217">
        <v>0</v>
      </c>
      <c r="K199" s="98">
        <v>0</v>
      </c>
      <c r="L199" s="98">
        <f>L198</f>
        <v>3872219.2</v>
      </c>
      <c r="M199" s="98"/>
      <c r="N199" s="114">
        <f>$I199*имущество!$F$3/имущество!$F$11</f>
        <v>0</v>
      </c>
      <c r="O199" s="95">
        <f>$I199*имущество!$F$4/имущество!$F$11</f>
        <v>0</v>
      </c>
      <c r="P199" s="95">
        <f>$I199*имущество!$F$5/имущество!$F$11</f>
        <v>0</v>
      </c>
      <c r="Q199" s="95">
        <f>$I199*имущество!$F$6/имущество!$F$11</f>
        <v>0</v>
      </c>
      <c r="R199" s="95">
        <f>$I199*имущество!$F$7/имущество!$F$11</f>
        <v>0</v>
      </c>
      <c r="S199" s="95">
        <f>$I199*имущество!$F$8/имущество!$F$11</f>
        <v>0</v>
      </c>
      <c r="T199" s="95">
        <f>$I199*имущество!$F$9/имущество!$F$11</f>
        <v>0</v>
      </c>
      <c r="U199" s="98">
        <f t="shared" si="347"/>
        <v>0</v>
      </c>
    </row>
    <row r="200" spans="1:21" s="117" customFormat="1" ht="18.75" thickBot="1" x14ac:dyDescent="0.3">
      <c r="A200" s="106">
        <f>A187+1</f>
        <v>2033</v>
      </c>
      <c r="B200" s="115">
        <f>SUM(B188:B197)</f>
        <v>24186613.73</v>
      </c>
      <c r="C200" s="104">
        <f t="shared" ref="C200:G200" si="350">SUM(C188:C197)</f>
        <v>4837322.76</v>
      </c>
      <c r="D200" s="105">
        <f t="shared" si="350"/>
        <v>29023936.489999998</v>
      </c>
      <c r="E200" s="115">
        <f t="shared" si="350"/>
        <v>8081879.3099999996</v>
      </c>
      <c r="F200" s="104">
        <f t="shared" si="350"/>
        <v>1616375.84</v>
      </c>
      <c r="G200" s="105">
        <f t="shared" si="350"/>
        <v>9698255.1500000004</v>
      </c>
      <c r="H200" s="110">
        <f>Лист2!E30</f>
        <v>32268493.039999999</v>
      </c>
      <c r="I200" s="104">
        <f>SUM(I188:I197)</f>
        <v>6453698.5999999996</v>
      </c>
      <c r="J200" s="216">
        <f>J197</f>
        <v>20</v>
      </c>
      <c r="K200" s="105">
        <f>SUM(K188:K197)</f>
        <v>38722191.640000001</v>
      </c>
      <c r="L200" s="105">
        <f>L197</f>
        <v>3872219.2</v>
      </c>
      <c r="M200" s="105">
        <f>L202</f>
        <v>0</v>
      </c>
      <c r="N200" s="115">
        <f t="shared" ref="N200" si="351">SUM(N188:N199)</f>
        <v>2152670.1</v>
      </c>
      <c r="O200" s="104">
        <f t="shared" ref="O200" si="352">SUM(O188:O199)</f>
        <v>2084767.7</v>
      </c>
      <c r="P200" s="104">
        <f t="shared" ref="P200" si="353">SUM(P188:P199)</f>
        <v>2013398.3</v>
      </c>
      <c r="Q200" s="104">
        <f t="shared" ref="Q200" si="354">SUM(Q188:Q199)</f>
        <v>19500.2</v>
      </c>
      <c r="R200" s="104">
        <f t="shared" ref="R200" si="355">SUM(R188:R199)</f>
        <v>19500.2</v>
      </c>
      <c r="S200" s="104">
        <f t="shared" ref="S200" si="356">SUM(S188:S199)</f>
        <v>19500.2</v>
      </c>
      <c r="T200" s="104">
        <f t="shared" ref="T200" si="357">SUM(T188:T199)</f>
        <v>118322.7</v>
      </c>
      <c r="U200" s="105">
        <f t="shared" ref="U200" si="358">SUM(U188:U199)</f>
        <v>26039.200000000001</v>
      </c>
    </row>
    <row r="201" spans="1:21" ht="18.75" thickBot="1" x14ac:dyDescent="0.3">
      <c r="A201" s="149">
        <v>48945</v>
      </c>
      <c r="B201" s="116">
        <v>0</v>
      </c>
      <c r="C201" s="95">
        <v>0</v>
      </c>
      <c r="D201" s="98">
        <v>0</v>
      </c>
      <c r="E201" s="116">
        <v>0</v>
      </c>
      <c r="F201" s="95">
        <v>0</v>
      </c>
      <c r="G201" s="98">
        <v>0</v>
      </c>
      <c r="H201" s="111">
        <v>0</v>
      </c>
      <c r="I201" s="95">
        <v>0</v>
      </c>
      <c r="J201" s="217">
        <v>0</v>
      </c>
      <c r="K201" s="98">
        <v>0</v>
      </c>
      <c r="L201" s="98">
        <f>L200-SUM(K197:K199)</f>
        <v>0</v>
      </c>
      <c r="M201" s="98"/>
      <c r="N201" s="116">
        <f>$I201*имущество!$F$3/имущество!$F$11</f>
        <v>0</v>
      </c>
      <c r="O201" s="95">
        <f>$I201*имущество!$F$4/имущество!$F$11</f>
        <v>0</v>
      </c>
      <c r="P201" s="95">
        <f>$I201*имущество!$F$5/имущество!$F$11</f>
        <v>0</v>
      </c>
      <c r="Q201" s="95">
        <f>$I201*имущество!$F$6/имущество!$F$11</f>
        <v>0</v>
      </c>
      <c r="R201" s="95">
        <f>$I201*имущество!$F$7/имущество!$F$11</f>
        <v>0</v>
      </c>
      <c r="S201" s="95">
        <f>$I201*имущество!$F$8/имущество!$F$11</f>
        <v>0</v>
      </c>
      <c r="T201" s="95">
        <f>$I201*имущество!$F$9/имущество!$F$11</f>
        <v>0</v>
      </c>
      <c r="U201" s="98">
        <f>I201-SUM(N201:T201)</f>
        <v>0</v>
      </c>
    </row>
    <row r="202" spans="1:21" s="117" customFormat="1" ht="18.75" thickBot="1" x14ac:dyDescent="0.3">
      <c r="A202" s="106">
        <v>2034</v>
      </c>
      <c r="B202" s="115">
        <v>0</v>
      </c>
      <c r="C202" s="104">
        <v>0</v>
      </c>
      <c r="D202" s="105">
        <v>0</v>
      </c>
      <c r="E202" s="115">
        <v>0</v>
      </c>
      <c r="F202" s="104">
        <v>0</v>
      </c>
      <c r="G202" s="105">
        <v>0</v>
      </c>
      <c r="H202" s="110">
        <v>0</v>
      </c>
      <c r="I202" s="104">
        <v>0</v>
      </c>
      <c r="J202" s="216">
        <v>0</v>
      </c>
      <c r="K202" s="105">
        <v>0</v>
      </c>
      <c r="L202" s="105">
        <v>0</v>
      </c>
      <c r="M202" s="105"/>
      <c r="N202" s="115">
        <f>SUM(N201)</f>
        <v>0</v>
      </c>
      <c r="O202" s="104">
        <f t="shared" ref="O202:U202" si="359">SUM(O201)</f>
        <v>0</v>
      </c>
      <c r="P202" s="104">
        <f t="shared" si="359"/>
        <v>0</v>
      </c>
      <c r="Q202" s="104">
        <f t="shared" si="359"/>
        <v>0</v>
      </c>
      <c r="R202" s="104">
        <f t="shared" si="359"/>
        <v>0</v>
      </c>
      <c r="S202" s="104">
        <f t="shared" si="359"/>
        <v>0</v>
      </c>
      <c r="T202" s="104">
        <f t="shared" si="359"/>
        <v>0</v>
      </c>
      <c r="U202" s="105">
        <f t="shared" si="359"/>
        <v>0</v>
      </c>
    </row>
    <row r="203" spans="1:21" ht="18.75" thickBot="1" x14ac:dyDescent="0.3">
      <c r="A203" s="106" t="s">
        <v>7</v>
      </c>
      <c r="B203" s="115">
        <f>B200+B187+B174+B161+B148+B135+B122+B109+B96+B83+B70+B57+B44+B31+B18+B5</f>
        <v>435359041.52999997</v>
      </c>
      <c r="C203" s="104">
        <f t="shared" ref="C203:K203" si="360">C200+C187+C174+C161+C148+C135+C122+C109+C96+C83+C70+C57+C44+C31+C18+C5</f>
        <v>86975062.200000003</v>
      </c>
      <c r="D203" s="105">
        <f t="shared" si="360"/>
        <v>522334103.73000002</v>
      </c>
      <c r="E203" s="115">
        <f t="shared" si="360"/>
        <v>473088958.47000003</v>
      </c>
      <c r="F203" s="104">
        <f t="shared" si="360"/>
        <v>94571117.659999996</v>
      </c>
      <c r="G203" s="105">
        <f t="shared" si="360"/>
        <v>567660076.13</v>
      </c>
      <c r="H203" s="110">
        <f t="shared" si="360"/>
        <v>908448000</v>
      </c>
      <c r="I203" s="104">
        <f t="shared" si="360"/>
        <v>181546179.86000001</v>
      </c>
      <c r="J203" s="218">
        <f>I203/H203*100</f>
        <v>19.984000000000002</v>
      </c>
      <c r="K203" s="105">
        <f t="shared" si="360"/>
        <v>1089994179.8599999</v>
      </c>
      <c r="L203" s="105">
        <f>L202</f>
        <v>0</v>
      </c>
      <c r="M203" s="105"/>
      <c r="N203" s="104">
        <f t="shared" ref="N203:U203" si="361">N200+N187+N174+N161+N148+N135+N122+N109+N96+N83+N70+N57+N44+N31+N18+N5</f>
        <v>60555824.530000001</v>
      </c>
      <c r="O203" s="104">
        <f t="shared" si="361"/>
        <v>58645690.579999998</v>
      </c>
      <c r="P203" s="104">
        <f t="shared" si="361"/>
        <v>56638028.609999999</v>
      </c>
      <c r="Q203" s="104">
        <f t="shared" si="361"/>
        <v>548551.57999999996</v>
      </c>
      <c r="R203" s="104">
        <f t="shared" si="361"/>
        <v>548551.57999999996</v>
      </c>
      <c r="S203" s="104">
        <f t="shared" si="361"/>
        <v>548551.57999999996</v>
      </c>
      <c r="T203" s="104">
        <f t="shared" si="361"/>
        <v>3328483.2</v>
      </c>
      <c r="U203" s="105">
        <f t="shared" si="361"/>
        <v>732498.2</v>
      </c>
    </row>
    <row r="204" spans="1:21" hidden="1" x14ac:dyDescent="0.25">
      <c r="B204" s="32">
        <f>Лист2!E5</f>
        <v>435359041.52999997</v>
      </c>
      <c r="E204" s="32">
        <f>Лист2!E6</f>
        <v>473088958.47000003</v>
      </c>
      <c r="H204" s="32">
        <f>Лист2!E4</f>
        <v>908448000</v>
      </c>
      <c r="L204">
        <f>L203</f>
        <v>0</v>
      </c>
    </row>
    <row r="205" spans="1:21" hidden="1" x14ac:dyDescent="0.25">
      <c r="B205" s="32">
        <f>B203-B204</f>
        <v>0</v>
      </c>
      <c r="E205" s="32">
        <f>E203-E204</f>
        <v>0</v>
      </c>
      <c r="H205" s="32">
        <f>H203-H204</f>
        <v>0</v>
      </c>
    </row>
  </sheetData>
  <pageMargins left="0.70866141732283472" right="0.70866141732283472" top="0.74803149606299213" bottom="0.74803149606299213" header="0.31496062992125984" footer="0.31496062992125984"/>
  <pageSetup paperSize="9" scale="66" fitToHeight="25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BE44F-7506-46CA-94A2-6AF88A3B789E}">
  <sheetPr>
    <pageSetUpPr fitToPage="1"/>
  </sheetPr>
  <dimension ref="A1:D7"/>
  <sheetViews>
    <sheetView workbookViewId="0">
      <selection activeCell="D34" sqref="D34"/>
    </sheetView>
  </sheetViews>
  <sheetFormatPr defaultRowHeight="18" x14ac:dyDescent="0.25"/>
  <cols>
    <col min="1" max="1" width="28.44140625" style="136" customWidth="1"/>
    <col min="2" max="4" width="14.33203125" style="140" customWidth="1"/>
    <col min="5" max="16384" width="8.88671875" style="136"/>
  </cols>
  <sheetData>
    <row r="1" spans="1:4" s="127" customFormat="1" ht="26.25" thickBot="1" x14ac:dyDescent="0.3">
      <c r="A1" s="239" t="s">
        <v>60</v>
      </c>
      <c r="B1" s="239"/>
      <c r="C1" s="239"/>
      <c r="D1" s="239"/>
    </row>
    <row r="2" spans="1:4" s="132" customFormat="1" ht="26.25" customHeight="1" thickBot="1" x14ac:dyDescent="0.3">
      <c r="A2" s="128" t="s">
        <v>48</v>
      </c>
      <c r="B2" s="129" t="s">
        <v>58</v>
      </c>
      <c r="C2" s="130" t="s">
        <v>59</v>
      </c>
      <c r="D2" s="131">
        <v>2019</v>
      </c>
    </row>
    <row r="3" spans="1:4" ht="26.25" customHeight="1" x14ac:dyDescent="0.25">
      <c r="A3" s="133" t="s">
        <v>54</v>
      </c>
      <c r="B3" s="134">
        <f>Лист2!E4</f>
        <v>908448000</v>
      </c>
      <c r="C3" s="135">
        <f>B5</f>
        <v>903401066.66999996</v>
      </c>
      <c r="D3" s="134">
        <f>B3</f>
        <v>908448000</v>
      </c>
    </row>
    <row r="4" spans="1:4" ht="26.25" customHeight="1" x14ac:dyDescent="0.25">
      <c r="A4" s="137" t="s">
        <v>55</v>
      </c>
      <c r="B4" s="138">
        <f>B3/15/12</f>
        <v>5046933.33</v>
      </c>
      <c r="C4" s="139">
        <f>B4</f>
        <v>5046933.33</v>
      </c>
      <c r="D4" s="138">
        <f>C4+B4</f>
        <v>10093866.66</v>
      </c>
    </row>
    <row r="5" spans="1:4" ht="26.25" customHeight="1" x14ac:dyDescent="0.25">
      <c r="A5" s="137" t="s">
        <v>61</v>
      </c>
      <c r="B5" s="138">
        <f>B3-B4</f>
        <v>903401066.66999996</v>
      </c>
      <c r="C5" s="139">
        <f>C3-C4</f>
        <v>898354133.34000003</v>
      </c>
      <c r="D5" s="138">
        <f>D3-D4</f>
        <v>898354133.34000003</v>
      </c>
    </row>
    <row r="6" spans="1:4" ht="26.25" customHeight="1" thickBot="1" x14ac:dyDescent="0.3">
      <c r="A6" s="141" t="s">
        <v>56</v>
      </c>
      <c r="B6" s="142">
        <f>(B3+B5)/2</f>
        <v>905924533.34000003</v>
      </c>
      <c r="C6" s="143">
        <f>(C3+C5)/2</f>
        <v>900877600.00999999</v>
      </c>
      <c r="D6" s="142">
        <f>(D3+D5)/2</f>
        <v>903401066.66999996</v>
      </c>
    </row>
    <row r="7" spans="1:4" ht="26.25" customHeight="1" thickBot="1" x14ac:dyDescent="0.3">
      <c r="A7" s="145" t="s">
        <v>57</v>
      </c>
      <c r="B7" s="144">
        <f>ROUND(B6*0.022/12,0)</f>
        <v>1660862</v>
      </c>
      <c r="C7" s="146">
        <f>ROUND(C6*0.022/12,0)</f>
        <v>1651609</v>
      </c>
      <c r="D7" s="144">
        <f>C7+B7</f>
        <v>3312471</v>
      </c>
    </row>
  </sheetData>
  <mergeCells count="1">
    <mergeCell ref="A1:D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D34E0-E443-46B8-890A-E52FC486E94B}">
  <sheetPr>
    <pageSetUpPr fitToPage="1"/>
  </sheetPr>
  <dimension ref="A1:AF22"/>
  <sheetViews>
    <sheetView zoomScale="85" zoomScaleNormal="85" workbookViewId="0">
      <pane ySplit="2" topLeftCell="A3" activePane="bottomLeft" state="frozen"/>
      <selection activeCell="G26" sqref="G26"/>
      <selection pane="bottomLeft" activeCell="G26" sqref="G26"/>
    </sheetView>
  </sheetViews>
  <sheetFormatPr defaultRowHeight="18" outlineLevelCol="1" x14ac:dyDescent="0.25"/>
  <cols>
    <col min="1" max="1" width="6.77734375" style="152" customWidth="1"/>
    <col min="2" max="2" width="36.77734375" style="152" customWidth="1"/>
    <col min="3" max="3" width="14.44140625" style="152" customWidth="1"/>
    <col min="4" max="4" width="16.44140625" style="152" customWidth="1"/>
    <col min="5" max="5" width="12.5546875" style="188" customWidth="1" outlineLevel="1"/>
    <col min="6" max="6" width="16" style="188" customWidth="1"/>
    <col min="7" max="7" width="17.6640625" style="188" customWidth="1"/>
    <col min="8" max="10" width="22.21875" style="188" hidden="1" customWidth="1"/>
    <col min="11" max="11" width="10.77734375" style="152" hidden="1" customWidth="1"/>
    <col min="12" max="12" width="8.88671875" style="152" hidden="1" customWidth="1"/>
    <col min="13" max="13" width="15" style="152" hidden="1" customWidth="1"/>
    <col min="14" max="14" width="14.5546875" style="152" hidden="1" customWidth="1"/>
    <col min="15" max="15" width="9.44140625" style="152" hidden="1" customWidth="1" outlineLevel="1"/>
    <col min="16" max="16" width="8.88671875" style="152" hidden="1" customWidth="1" outlineLevel="1"/>
    <col min="17" max="17" width="7.44140625" style="152" hidden="1" customWidth="1" outlineLevel="1"/>
    <col min="18" max="18" width="7.33203125" style="152" hidden="1" customWidth="1" outlineLevel="1"/>
    <col min="19" max="19" width="8.5546875" style="152" hidden="1" customWidth="1" outlineLevel="1"/>
    <col min="20" max="20" width="9.77734375" style="152" hidden="1" customWidth="1" outlineLevel="1"/>
    <col min="21" max="21" width="8.88671875" style="152" hidden="1" customWidth="1" outlineLevel="1"/>
    <col min="22" max="22" width="9.33203125" style="152" hidden="1" customWidth="1" outlineLevel="1"/>
    <col min="23" max="23" width="16.77734375" style="152" hidden="1" customWidth="1" collapsed="1"/>
    <col min="24" max="28" width="16.77734375" style="152" hidden="1" customWidth="1"/>
    <col min="29" max="30" width="8.88671875" style="152" hidden="1" customWidth="1"/>
    <col min="31" max="32" width="13" style="152" hidden="1" customWidth="1"/>
    <col min="33" max="35" width="8.88671875" style="152" customWidth="1"/>
    <col min="36" max="16384" width="8.88671875" style="152"/>
  </cols>
  <sheetData>
    <row r="1" spans="1:32" ht="18.75" thickBot="1" x14ac:dyDescent="0.3">
      <c r="A1" s="241" t="s">
        <v>64</v>
      </c>
      <c r="B1" s="241"/>
      <c r="C1" s="241"/>
      <c r="D1" s="241"/>
      <c r="E1" s="241"/>
      <c r="F1" s="241"/>
      <c r="G1" s="241"/>
      <c r="H1" s="151"/>
      <c r="I1" s="151"/>
      <c r="J1" s="151"/>
    </row>
    <row r="2" spans="1:32" s="159" customFormat="1" ht="36.75" customHeight="1" thickBot="1" x14ac:dyDescent="0.3">
      <c r="A2" s="153" t="s">
        <v>65</v>
      </c>
      <c r="B2" s="154" t="s">
        <v>66</v>
      </c>
      <c r="C2" s="155" t="s">
        <v>67</v>
      </c>
      <c r="D2" s="153" t="s">
        <v>16</v>
      </c>
      <c r="E2" s="156" t="s">
        <v>68</v>
      </c>
      <c r="F2" s="156" t="s">
        <v>13</v>
      </c>
      <c r="G2" s="157" t="s">
        <v>69</v>
      </c>
      <c r="H2" s="158"/>
      <c r="I2" s="158"/>
      <c r="J2" s="158"/>
      <c r="M2" s="160" t="s">
        <v>11</v>
      </c>
      <c r="N2" s="160" t="s">
        <v>70</v>
      </c>
      <c r="O2" s="242" t="s">
        <v>71</v>
      </c>
      <c r="P2" s="242"/>
      <c r="Q2" s="242"/>
      <c r="R2" s="242"/>
      <c r="S2" s="242"/>
      <c r="T2" s="242"/>
      <c r="U2" s="242"/>
      <c r="V2" s="242"/>
      <c r="W2" s="161" t="s">
        <v>72</v>
      </c>
      <c r="X2" s="161" t="s">
        <v>73</v>
      </c>
      <c r="Y2" s="159" t="s">
        <v>68</v>
      </c>
      <c r="Z2" s="243" t="s">
        <v>13</v>
      </c>
      <c r="AA2" s="243"/>
    </row>
    <row r="3" spans="1:32" ht="36" x14ac:dyDescent="0.25">
      <c r="A3" s="163">
        <v>1</v>
      </c>
      <c r="B3" s="164" t="s">
        <v>74</v>
      </c>
      <c r="C3" s="165" t="s">
        <v>75</v>
      </c>
      <c r="D3" s="166">
        <v>145216637.53</v>
      </c>
      <c r="E3" s="167">
        <f>D3/D11</f>
        <v>0.33355603921999999</v>
      </c>
      <c r="F3" s="168">
        <f t="shared" ref="F3:F10" si="0">G3-D3</f>
        <v>157801679.19</v>
      </c>
      <c r="G3" s="168">
        <f t="shared" ref="G3:G9" si="1">908448000*E3</f>
        <v>303018316.72000003</v>
      </c>
      <c r="H3" s="169"/>
      <c r="I3" s="169"/>
      <c r="J3" s="169"/>
      <c r="M3" s="170">
        <f>G3/100*18</f>
        <v>54543297.009999998</v>
      </c>
      <c r="N3" s="170">
        <f>M3+G3</f>
        <v>357561613.73000002</v>
      </c>
      <c r="O3" s="171">
        <v>21999.68</v>
      </c>
      <c r="P3" s="172">
        <v>3174.24</v>
      </c>
      <c r="Q3" s="172">
        <v>6.1</v>
      </c>
      <c r="R3" s="172">
        <v>126.97</v>
      </c>
      <c r="S3" s="172">
        <v>4034.46</v>
      </c>
      <c r="T3" s="172">
        <v>6643.29</v>
      </c>
      <c r="U3" s="172">
        <v>5118.41</v>
      </c>
      <c r="V3" s="173">
        <v>75230.039999999994</v>
      </c>
      <c r="W3" s="174">
        <f>F3+O3+P3+Q3+R3+S3+T3+U3+V3+D3</f>
        <v>303134649.91000003</v>
      </c>
      <c r="X3" s="175">
        <f>W3-F3</f>
        <v>145332970.72</v>
      </c>
      <c r="Y3" s="176">
        <f>W3/W11</f>
        <v>0.33355000000000001</v>
      </c>
      <c r="Z3" s="177">
        <f>Z11*Y3</f>
        <v>2391897.84</v>
      </c>
      <c r="AA3" s="177">
        <f>AA11*Y3</f>
        <v>430541.61</v>
      </c>
      <c r="AB3" s="177">
        <f>AB11*Y3</f>
        <v>918522.46</v>
      </c>
      <c r="AE3" s="152">
        <f>W3/W$11</f>
        <v>0.33355248278874799</v>
      </c>
      <c r="AF3" s="152">
        <f>X3/X$11</f>
        <v>0.33354862131337398</v>
      </c>
    </row>
    <row r="4" spans="1:32" ht="36" x14ac:dyDescent="0.25">
      <c r="A4" s="178">
        <f>A3+1</f>
        <v>2</v>
      </c>
      <c r="B4" s="179" t="s">
        <v>74</v>
      </c>
      <c r="C4" s="180" t="s">
        <v>76</v>
      </c>
      <c r="D4" s="181">
        <v>140636016.68000001</v>
      </c>
      <c r="E4" s="182">
        <f>D4/D11</f>
        <v>0.32303456059000002</v>
      </c>
      <c r="F4" s="183">
        <f t="shared" si="0"/>
        <v>152824083.81999999</v>
      </c>
      <c r="G4" s="183">
        <f t="shared" si="1"/>
        <v>293460100.5</v>
      </c>
      <c r="H4" s="169"/>
      <c r="I4" s="169"/>
      <c r="J4" s="169"/>
      <c r="M4" s="170">
        <f t="shared" ref="M4:M10" si="2">G4/100*18</f>
        <v>52822818.090000004</v>
      </c>
      <c r="N4" s="170">
        <f t="shared" ref="N4:N10" si="3">M4+G4</f>
        <v>346282918.58999997</v>
      </c>
      <c r="O4" s="184">
        <v>21302.36</v>
      </c>
      <c r="P4" s="185">
        <v>3073.63</v>
      </c>
      <c r="Q4" s="185"/>
      <c r="R4" s="185">
        <v>122.92</v>
      </c>
      <c r="S4" s="185">
        <v>3906.58</v>
      </c>
      <c r="T4" s="185">
        <v>6432.73</v>
      </c>
      <c r="U4" s="185">
        <v>4956.17</v>
      </c>
      <c r="V4" s="186">
        <v>72845.38</v>
      </c>
      <c r="W4" s="174">
        <f t="shared" ref="W4:W10" si="4">F4+O4+P4+Q4+R4+S4+T4+U4+V4+D4</f>
        <v>293572740.26999998</v>
      </c>
      <c r="X4" s="175">
        <f t="shared" ref="X4:X10" si="5">W4-F4</f>
        <v>140748656.44999999</v>
      </c>
      <c r="Y4" s="187">
        <f>W4/W11</f>
        <v>0.32302999999999998</v>
      </c>
      <c r="Z4" s="177">
        <f>Z11*Y4</f>
        <v>2316458.58</v>
      </c>
      <c r="AA4" s="177">
        <f>AA11*Y4</f>
        <v>416962.54</v>
      </c>
      <c r="AB4" s="177">
        <f>AB11*Y4</f>
        <v>889552.72</v>
      </c>
      <c r="AE4" s="152">
        <f t="shared" ref="AE4:AE10" si="6">W4/W$11</f>
        <v>0.32303109006254399</v>
      </c>
      <c r="AF4" s="152">
        <f t="shared" ref="AF4:AF10" si="7">X4/X$11</f>
        <v>0.32302732186666</v>
      </c>
    </row>
    <row r="5" spans="1:32" ht="36" x14ac:dyDescent="0.25">
      <c r="A5" s="178">
        <f t="shared" ref="A5:A9" si="8">A4+1</f>
        <v>3</v>
      </c>
      <c r="B5" s="179" t="s">
        <v>74</v>
      </c>
      <c r="C5" s="180" t="s">
        <v>77</v>
      </c>
      <c r="D5" s="181">
        <v>135821518.03</v>
      </c>
      <c r="E5" s="182">
        <f>D5/D11</f>
        <v>0.31197587524999998</v>
      </c>
      <c r="F5" s="183">
        <f t="shared" si="0"/>
        <v>147592341.88999999</v>
      </c>
      <c r="G5" s="183">
        <f t="shared" si="1"/>
        <v>283413859.92000002</v>
      </c>
      <c r="H5" s="169"/>
      <c r="I5" s="169"/>
      <c r="J5" s="169"/>
      <c r="K5" s="188">
        <f>E3+E4+E5</f>
        <v>0.97</v>
      </c>
      <c r="M5" s="170">
        <f t="shared" si="2"/>
        <v>51014494.789999999</v>
      </c>
      <c r="N5" s="170">
        <f t="shared" si="3"/>
        <v>334428354.70999998</v>
      </c>
      <c r="O5" s="184">
        <v>20569.439999999999</v>
      </c>
      <c r="P5" s="185">
        <v>2967.88</v>
      </c>
      <c r="Q5" s="185"/>
      <c r="R5" s="185">
        <v>118.71</v>
      </c>
      <c r="S5" s="185">
        <v>3772</v>
      </c>
      <c r="T5" s="185">
        <v>6211.4</v>
      </c>
      <c r="U5" s="185">
        <v>4785.6499999999996</v>
      </c>
      <c r="V5" s="186">
        <v>70338.789999999994</v>
      </c>
      <c r="W5" s="174">
        <f t="shared" si="4"/>
        <v>283522623.79000002</v>
      </c>
      <c r="X5" s="175">
        <f t="shared" si="5"/>
        <v>135930281.90000001</v>
      </c>
      <c r="Y5" s="187">
        <f>W5/W11</f>
        <v>0.31197000000000003</v>
      </c>
      <c r="Z5" s="177">
        <f>Z11*Y5</f>
        <v>2237146.9700000002</v>
      </c>
      <c r="AA5" s="177">
        <f>AA11*Y5</f>
        <v>402686.45</v>
      </c>
      <c r="AB5" s="177">
        <f>AB11*Y5</f>
        <v>859095.94</v>
      </c>
      <c r="AE5" s="152">
        <f t="shared" si="6"/>
        <v>0.31197250172493401</v>
      </c>
      <c r="AF5" s="152">
        <f t="shared" si="7"/>
        <v>0.31196883885236598</v>
      </c>
    </row>
    <row r="6" spans="1:32" x14ac:dyDescent="0.25">
      <c r="A6" s="178">
        <f t="shared" si="8"/>
        <v>4</v>
      </c>
      <c r="B6" s="179" t="s">
        <v>78</v>
      </c>
      <c r="C6" s="180" t="s">
        <v>79</v>
      </c>
      <c r="D6" s="181">
        <v>1315461.6399999999</v>
      </c>
      <c r="E6" s="189">
        <f>D6/D11</f>
        <v>3.0215558099999998E-3</v>
      </c>
      <c r="F6" s="183">
        <f t="shared" si="0"/>
        <v>1429464.69</v>
      </c>
      <c r="G6" s="183">
        <f t="shared" si="1"/>
        <v>2744926.33</v>
      </c>
      <c r="H6" s="190"/>
      <c r="I6" s="190"/>
      <c r="J6" s="190"/>
      <c r="M6" s="170">
        <f t="shared" si="2"/>
        <v>494086.74</v>
      </c>
      <c r="N6" s="170">
        <f t="shared" si="3"/>
        <v>3239013.07</v>
      </c>
      <c r="O6" s="184"/>
      <c r="P6" s="185">
        <v>28.89</v>
      </c>
      <c r="Q6" s="185"/>
      <c r="R6" s="185">
        <v>1.1599999999999999</v>
      </c>
      <c r="S6" s="185">
        <v>36.72</v>
      </c>
      <c r="T6" s="185">
        <v>60.47</v>
      </c>
      <c r="U6" s="185">
        <v>46.59</v>
      </c>
      <c r="V6" s="186">
        <v>684</v>
      </c>
      <c r="W6" s="174">
        <f t="shared" si="4"/>
        <v>2745784.16</v>
      </c>
      <c r="X6" s="175">
        <f t="shared" si="5"/>
        <v>1316319.47</v>
      </c>
      <c r="Y6" s="191">
        <f>W6/W11</f>
        <v>3.0200000000000001E-3</v>
      </c>
      <c r="Z6" s="177">
        <f>Z11*Y6</f>
        <v>21656.52</v>
      </c>
      <c r="AA6" s="177">
        <f>AA11*Y6</f>
        <v>3898.17</v>
      </c>
      <c r="AB6" s="177">
        <f>AB11*Y6</f>
        <v>8316.41</v>
      </c>
      <c r="AE6" s="152">
        <f t="shared" si="6"/>
        <v>3.0213079370568002E-3</v>
      </c>
      <c r="AF6" s="152">
        <f t="shared" si="7"/>
        <v>3.0210388066197499E-3</v>
      </c>
    </row>
    <row r="7" spans="1:32" x14ac:dyDescent="0.25">
      <c r="A7" s="178">
        <f t="shared" si="8"/>
        <v>5</v>
      </c>
      <c r="B7" s="179" t="s">
        <v>80</v>
      </c>
      <c r="C7" s="180" t="s">
        <v>81</v>
      </c>
      <c r="D7" s="181">
        <v>1315461.6399999999</v>
      </c>
      <c r="E7" s="189">
        <f>D7/D11</f>
        <v>3.0215558099999998E-3</v>
      </c>
      <c r="F7" s="183">
        <f t="shared" si="0"/>
        <v>1429464.69</v>
      </c>
      <c r="G7" s="183">
        <f t="shared" si="1"/>
        <v>2744926.33</v>
      </c>
      <c r="H7" s="190"/>
      <c r="I7" s="190"/>
      <c r="J7" s="190"/>
      <c r="M7" s="170">
        <f t="shared" si="2"/>
        <v>494086.74</v>
      </c>
      <c r="N7" s="170">
        <f t="shared" si="3"/>
        <v>3239013.07</v>
      </c>
      <c r="O7" s="184"/>
      <c r="P7" s="185">
        <v>28.89</v>
      </c>
      <c r="Q7" s="185"/>
      <c r="R7" s="185">
        <v>1.1599999999999999</v>
      </c>
      <c r="S7" s="185">
        <v>36.72</v>
      </c>
      <c r="T7" s="185">
        <v>60.47</v>
      </c>
      <c r="U7" s="185">
        <v>46.59</v>
      </c>
      <c r="V7" s="186">
        <v>684.41</v>
      </c>
      <c r="W7" s="174">
        <f t="shared" si="4"/>
        <v>2745784.57</v>
      </c>
      <c r="X7" s="175">
        <f t="shared" si="5"/>
        <v>1316319.8799999999</v>
      </c>
      <c r="Y7" s="191">
        <f>W7/W11</f>
        <v>3.0200000000000001E-3</v>
      </c>
      <c r="Z7" s="177">
        <f>Z11*Y7</f>
        <v>21656.52</v>
      </c>
      <c r="AA7" s="177">
        <f>AA11*Y7</f>
        <v>3898.17</v>
      </c>
      <c r="AB7" s="177">
        <f>AB11*Y7</f>
        <v>8316.41</v>
      </c>
      <c r="AE7" s="152">
        <f t="shared" si="6"/>
        <v>3.0213083881979602E-3</v>
      </c>
      <c r="AF7" s="152">
        <f t="shared" si="7"/>
        <v>3.0210397475964202E-3</v>
      </c>
    </row>
    <row r="8" spans="1:32" x14ac:dyDescent="0.25">
      <c r="A8" s="178">
        <f t="shared" si="8"/>
        <v>6</v>
      </c>
      <c r="B8" s="179" t="s">
        <v>82</v>
      </c>
      <c r="C8" s="180" t="s">
        <v>83</v>
      </c>
      <c r="D8" s="181">
        <v>1315461.6599999999</v>
      </c>
      <c r="E8" s="189">
        <f>D8/D11</f>
        <v>3.0215558500000001E-3</v>
      </c>
      <c r="F8" s="183">
        <f t="shared" si="0"/>
        <v>1429464.71</v>
      </c>
      <c r="G8" s="183">
        <f t="shared" si="1"/>
        <v>2744926.37</v>
      </c>
      <c r="H8" s="190"/>
      <c r="I8" s="190"/>
      <c r="J8" s="190"/>
      <c r="K8" s="188">
        <f>E6+E7+E8</f>
        <v>0.01</v>
      </c>
      <c r="M8" s="170">
        <f t="shared" si="2"/>
        <v>494086.75</v>
      </c>
      <c r="N8" s="170">
        <f t="shared" si="3"/>
        <v>3239013.12</v>
      </c>
      <c r="O8" s="184"/>
      <c r="P8" s="185">
        <v>28.9</v>
      </c>
      <c r="Q8" s="185"/>
      <c r="R8" s="185">
        <v>1.1599999999999999</v>
      </c>
      <c r="S8" s="185">
        <v>36.72</v>
      </c>
      <c r="T8" s="185">
        <v>60.47</v>
      </c>
      <c r="U8" s="185">
        <v>46.59</v>
      </c>
      <c r="V8" s="186">
        <v>684.95</v>
      </c>
      <c r="W8" s="174">
        <f t="shared" si="4"/>
        <v>2745785.16</v>
      </c>
      <c r="X8" s="175">
        <f t="shared" si="5"/>
        <v>1316320.45</v>
      </c>
      <c r="Y8" s="191">
        <f>W8/W11</f>
        <v>3.0200000000000001E-3</v>
      </c>
      <c r="Z8" s="177">
        <f>Z11*Y8</f>
        <v>21656.52</v>
      </c>
      <c r="AA8" s="177">
        <f>AA11*Y8</f>
        <v>3898.17</v>
      </c>
      <c r="AB8" s="177">
        <f>AB11*Y8</f>
        <v>8316.41</v>
      </c>
      <c r="AE8" s="152">
        <f t="shared" si="6"/>
        <v>3.0213090374010998E-3</v>
      </c>
      <c r="AF8" s="152">
        <f t="shared" si="7"/>
        <v>3.0210410557834902E-3</v>
      </c>
    </row>
    <row r="9" spans="1:32" ht="54" x14ac:dyDescent="0.25">
      <c r="A9" s="178">
        <f t="shared" si="8"/>
        <v>7</v>
      </c>
      <c r="B9" s="179" t="s">
        <v>84</v>
      </c>
      <c r="C9" s="180" t="s">
        <v>85</v>
      </c>
      <c r="D9" s="181">
        <v>7981909.6799999997</v>
      </c>
      <c r="E9" s="182">
        <f>D9/D11</f>
        <v>1.8334085020000002E-2</v>
      </c>
      <c r="F9" s="183">
        <f t="shared" si="0"/>
        <v>8673653.1899999995</v>
      </c>
      <c r="G9" s="183">
        <f t="shared" si="1"/>
        <v>16655562.869999999</v>
      </c>
      <c r="H9" s="169"/>
      <c r="I9" s="169"/>
      <c r="J9" s="169"/>
      <c r="M9" s="170">
        <f t="shared" si="2"/>
        <v>2998001.32</v>
      </c>
      <c r="N9" s="170">
        <f t="shared" si="3"/>
        <v>19653564.190000001</v>
      </c>
      <c r="O9" s="184"/>
      <c r="P9" s="185">
        <v>175.32</v>
      </c>
      <c r="Q9" s="185"/>
      <c r="R9" s="185">
        <v>7.02</v>
      </c>
      <c r="S9" s="185">
        <v>222.84</v>
      </c>
      <c r="T9" s="185"/>
      <c r="U9" s="185"/>
      <c r="V9" s="186">
        <v>4155.1099999999997</v>
      </c>
      <c r="W9" s="174">
        <f t="shared" si="4"/>
        <v>16660123.16</v>
      </c>
      <c r="X9" s="175">
        <f t="shared" si="5"/>
        <v>7986469.9699999997</v>
      </c>
      <c r="Y9" s="187">
        <f>W9/W11</f>
        <v>1.8329999999999999E-2</v>
      </c>
      <c r="Z9" s="177">
        <f>Z11*Y9</f>
        <v>131445.01999999999</v>
      </c>
      <c r="AA9" s="177">
        <f>AA11*Y9</f>
        <v>23660.1</v>
      </c>
      <c r="AB9" s="177">
        <f>AB11*Y9</f>
        <v>50476.74</v>
      </c>
      <c r="AE9" s="152">
        <f t="shared" si="6"/>
        <v>1.8331871480987701E-2</v>
      </c>
      <c r="AF9" s="152">
        <f t="shared" si="7"/>
        <v>1.8329468079107899E-2</v>
      </c>
    </row>
    <row r="10" spans="1:32" ht="18.75" thickBot="1" x14ac:dyDescent="0.3">
      <c r="A10" s="192">
        <v>8</v>
      </c>
      <c r="B10" s="193" t="s">
        <v>86</v>
      </c>
      <c r="C10" s="194" t="s">
        <v>87</v>
      </c>
      <c r="D10" s="195">
        <v>1756574.67</v>
      </c>
      <c r="E10" s="196">
        <f>D10/D11</f>
        <v>4.0347724599999997E-3</v>
      </c>
      <c r="F10" s="197">
        <f t="shared" si="0"/>
        <v>1908806.29</v>
      </c>
      <c r="G10" s="197">
        <f>908448000*E10-0.01</f>
        <v>3665380.96</v>
      </c>
      <c r="H10" s="169"/>
      <c r="I10" s="169"/>
      <c r="J10" s="169"/>
      <c r="M10" s="170">
        <f t="shared" si="2"/>
        <v>659768.56999999995</v>
      </c>
      <c r="N10" s="170">
        <f t="shared" si="3"/>
        <v>4325149.53</v>
      </c>
      <c r="O10" s="198"/>
      <c r="P10" s="199">
        <v>522.25</v>
      </c>
      <c r="Q10" s="199"/>
      <c r="R10" s="199">
        <v>20.9</v>
      </c>
      <c r="S10" s="199">
        <v>663.96</v>
      </c>
      <c r="T10" s="199"/>
      <c r="U10" s="199"/>
      <c r="V10" s="200">
        <v>12377.32</v>
      </c>
      <c r="W10" s="174">
        <f t="shared" si="4"/>
        <v>3678965.39</v>
      </c>
      <c r="X10" s="175">
        <f t="shared" si="5"/>
        <v>1770159.1</v>
      </c>
      <c r="Y10" s="201">
        <f>W10/W11</f>
        <v>4.0499999999999998E-3</v>
      </c>
      <c r="Z10" s="177">
        <f>Z11*Y10</f>
        <v>29042.68</v>
      </c>
      <c r="AA10" s="177">
        <f>AA11*Y10</f>
        <v>5227.68</v>
      </c>
      <c r="AB10" s="177">
        <f>AB11*Y10</f>
        <v>11152.8</v>
      </c>
      <c r="AE10" s="152">
        <f t="shared" si="6"/>
        <v>4.0481285801300098E-3</v>
      </c>
      <c r="AF10" s="152">
        <f t="shared" si="7"/>
        <v>4.0626302784924099E-3</v>
      </c>
    </row>
    <row r="11" spans="1:32" ht="18.75" thickBot="1" x14ac:dyDescent="0.3">
      <c r="A11" s="244" t="s">
        <v>88</v>
      </c>
      <c r="B11" s="245"/>
      <c r="C11" s="245"/>
      <c r="D11" s="202">
        <f>SUM(D3:D10)</f>
        <v>435359041.52999997</v>
      </c>
      <c r="E11" s="203">
        <f>SUM(E3:E10)</f>
        <v>1</v>
      </c>
      <c r="F11" s="156">
        <f>SUM(F3:F10)</f>
        <v>473088958.47000003</v>
      </c>
      <c r="G11" s="157">
        <f>SUM(G3:G10)</f>
        <v>908448000</v>
      </c>
      <c r="H11" s="158"/>
      <c r="I11" s="158"/>
      <c r="J11" s="158"/>
      <c r="M11" s="204">
        <f>SUM(M3:M10)</f>
        <v>163520640.00999999</v>
      </c>
      <c r="N11" s="205">
        <f>SUM(N3:N10)</f>
        <v>1071968640.01</v>
      </c>
      <c r="O11" s="206">
        <f>SUM(O3:O10)</f>
        <v>63871.48</v>
      </c>
      <c r="P11" s="207">
        <f>SUM(P3:P10)</f>
        <v>10000</v>
      </c>
      <c r="Q11" s="207">
        <f>SUM(Q3)</f>
        <v>6.1</v>
      </c>
      <c r="R11" s="207">
        <f t="shared" ref="R11:V11" si="9">SUM(R3:R10)</f>
        <v>400</v>
      </c>
      <c r="S11" s="207">
        <f t="shared" si="9"/>
        <v>12710</v>
      </c>
      <c r="T11" s="207">
        <f t="shared" si="9"/>
        <v>19468.830000000002</v>
      </c>
      <c r="U11" s="207">
        <f t="shared" si="9"/>
        <v>15000</v>
      </c>
      <c r="V11" s="207">
        <f t="shared" si="9"/>
        <v>237000</v>
      </c>
      <c r="W11" s="174">
        <f>SUM(W3:W10)</f>
        <v>908806456.40999997</v>
      </c>
      <c r="X11" s="174">
        <f>SUM(X3:X10)</f>
        <v>435717497.94</v>
      </c>
      <c r="Y11" s="188"/>
      <c r="Z11" s="177">
        <v>7171032.3600000003</v>
      </c>
      <c r="AA11" s="177">
        <v>1290785.82</v>
      </c>
      <c r="AB11" s="177">
        <v>2753777.42</v>
      </c>
    </row>
    <row r="12" spans="1:32" s="208" customFormat="1" hidden="1" x14ac:dyDescent="0.25">
      <c r="E12" s="209"/>
      <c r="F12" s="209"/>
      <c r="G12" s="209">
        <f>'Расчет по лизингу'!H203</f>
        <v>908448000</v>
      </c>
      <c r="H12" s="209"/>
      <c r="I12" s="209"/>
      <c r="J12" s="209"/>
      <c r="Z12" s="246">
        <f>Z11+AA11</f>
        <v>8461818.1799999997</v>
      </c>
      <c r="AA12" s="247"/>
    </row>
    <row r="13" spans="1:32" s="159" customFormat="1" x14ac:dyDescent="0.25">
      <c r="C13" s="210"/>
      <c r="H13" s="211"/>
      <c r="I13" s="211"/>
      <c r="J13" s="211"/>
      <c r="O13" s="248"/>
      <c r="P13" s="243"/>
      <c r="Q13" s="243"/>
      <c r="R13" s="243"/>
      <c r="S13" s="243"/>
      <c r="T13" s="243"/>
      <c r="U13" s="243"/>
      <c r="V13" s="243"/>
      <c r="W13" s="211">
        <f>W11/12/15</f>
        <v>5048924.76</v>
      </c>
      <c r="X13" s="211">
        <f>X11/12/15</f>
        <v>2420652.77</v>
      </c>
    </row>
    <row r="14" spans="1:32" s="159" customFormat="1" ht="36" customHeight="1" x14ac:dyDescent="0.25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V14" s="162"/>
      <c r="W14" s="210">
        <f>W13*2</f>
        <v>10097849.52</v>
      </c>
      <c r="X14" s="210">
        <f>X13*2</f>
        <v>4841305.54</v>
      </c>
    </row>
    <row r="15" spans="1:32" x14ac:dyDescent="0.25">
      <c r="D15" s="213"/>
      <c r="E15" s="152"/>
      <c r="F15" s="152"/>
      <c r="G15" s="152"/>
      <c r="H15" s="212"/>
      <c r="I15" s="212"/>
      <c r="J15" s="212"/>
      <c r="S15" s="159"/>
      <c r="X15" s="152">
        <v>2753777.42</v>
      </c>
    </row>
    <row r="16" spans="1:32" x14ac:dyDescent="0.25">
      <c r="X16" s="188">
        <f>X14+X15</f>
        <v>7595082.96</v>
      </c>
    </row>
    <row r="17" spans="5:7" x14ac:dyDescent="0.25">
      <c r="E17" s="152"/>
      <c r="F17" s="152"/>
      <c r="G17" s="152"/>
    </row>
    <row r="20" spans="5:7" x14ac:dyDescent="0.25">
      <c r="E20" s="211"/>
      <c r="F20" s="211"/>
      <c r="G20" s="211"/>
    </row>
    <row r="22" spans="5:7" x14ac:dyDescent="0.25">
      <c r="E22" s="152"/>
      <c r="F22" s="152"/>
      <c r="G22" s="212"/>
    </row>
  </sheetData>
  <mergeCells count="7">
    <mergeCell ref="A14:N14"/>
    <mergeCell ref="A1:G1"/>
    <mergeCell ref="O2:V2"/>
    <mergeCell ref="Z2:AA2"/>
    <mergeCell ref="A11:C11"/>
    <mergeCell ref="Z12:AA12"/>
    <mergeCell ref="O13:V13"/>
  </mergeCells>
  <conditionalFormatting sqref="C2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E73E4-7B40-4242-B756-13D93424F0E5}">
  <sheetPr>
    <tabColor rgb="FF92D050"/>
    <pageSetUpPr fitToPage="1"/>
  </sheetPr>
  <dimension ref="A1:O211"/>
  <sheetViews>
    <sheetView view="pageBreakPreview" zoomScale="60" zoomScaleNormal="100" workbookViewId="0">
      <pane xSplit="1" ySplit="4" topLeftCell="B197" activePane="bottomRight" state="frozen"/>
      <selection activeCell="H7" sqref="H7:H9"/>
      <selection pane="topRight" activeCell="H7" sqref="H7:H9"/>
      <selection pane="bottomLeft" activeCell="H7" sqref="H7:H9"/>
      <selection pane="bottomRight" activeCell="A211" sqref="A211:XFD211"/>
    </sheetView>
  </sheetViews>
  <sheetFormatPr defaultRowHeight="18.75" x14ac:dyDescent="0.3"/>
  <cols>
    <col min="1" max="1" width="12.6640625" style="250" customWidth="1"/>
    <col min="2" max="5" width="16.21875" style="353" customWidth="1"/>
    <col min="6" max="6" width="16.21875" style="354" customWidth="1"/>
    <col min="7" max="9" width="16.21875" style="353" customWidth="1"/>
    <col min="10" max="10" width="18.77734375" style="256" customWidth="1"/>
    <col min="11" max="14" width="16.21875" style="353" customWidth="1"/>
    <col min="15" max="15" width="12.109375" style="250" customWidth="1"/>
    <col min="16" max="16384" width="8.88671875" style="250"/>
  </cols>
  <sheetData>
    <row r="1" spans="1:15" x14ac:dyDescent="0.3">
      <c r="N1" s="252" t="s">
        <v>171</v>
      </c>
    </row>
    <row r="2" spans="1:15" s="313" customFormat="1" ht="24" thickBot="1" x14ac:dyDescent="0.4">
      <c r="A2" s="355" t="s">
        <v>166</v>
      </c>
      <c r="B2" s="311"/>
      <c r="C2" s="311"/>
      <c r="D2" s="311"/>
      <c r="E2" s="311"/>
      <c r="F2" s="312"/>
      <c r="G2" s="311"/>
      <c r="H2" s="311"/>
      <c r="I2" s="311"/>
      <c r="J2" s="259"/>
      <c r="K2" s="311"/>
      <c r="L2" s="311"/>
      <c r="M2" s="311"/>
      <c r="N2" s="311"/>
    </row>
    <row r="3" spans="1:15" s="319" customFormat="1" ht="24" thickBot="1" x14ac:dyDescent="0.4">
      <c r="A3" s="314" t="s">
        <v>0</v>
      </c>
      <c r="B3" s="315" t="s">
        <v>90</v>
      </c>
      <c r="C3" s="316"/>
      <c r="D3" s="317"/>
      <c r="E3" s="315" t="s">
        <v>96</v>
      </c>
      <c r="F3" s="316"/>
      <c r="G3" s="316"/>
      <c r="H3" s="317"/>
      <c r="I3" s="318" t="s">
        <v>91</v>
      </c>
      <c r="J3" s="266" t="s">
        <v>98</v>
      </c>
      <c r="K3" s="315" t="s">
        <v>92</v>
      </c>
      <c r="L3" s="316"/>
      <c r="M3" s="317"/>
      <c r="N3" s="318" t="s">
        <v>97</v>
      </c>
    </row>
    <row r="4" spans="1:15" s="329" customFormat="1" ht="75.75" thickBot="1" x14ac:dyDescent="0.35">
      <c r="A4" s="320"/>
      <c r="B4" s="321" t="s">
        <v>93</v>
      </c>
      <c r="C4" s="322" t="s">
        <v>94</v>
      </c>
      <c r="D4" s="323" t="s">
        <v>95</v>
      </c>
      <c r="E4" s="324" t="s">
        <v>167</v>
      </c>
      <c r="F4" s="325" t="s">
        <v>168</v>
      </c>
      <c r="G4" s="326" t="s">
        <v>169</v>
      </c>
      <c r="H4" s="327" t="s">
        <v>170</v>
      </c>
      <c r="I4" s="328"/>
      <c r="J4" s="277"/>
      <c r="K4" s="321" t="s">
        <v>93</v>
      </c>
      <c r="L4" s="322" t="s">
        <v>94</v>
      </c>
      <c r="M4" s="323" t="s">
        <v>95</v>
      </c>
      <c r="N4" s="328"/>
    </row>
    <row r="5" spans="1:15" x14ac:dyDescent="0.3">
      <c r="A5" s="330">
        <v>43405</v>
      </c>
      <c r="B5" s="331">
        <f>H205</f>
        <v>522430850.19</v>
      </c>
      <c r="C5" s="331">
        <f>B5-D5</f>
        <v>0</v>
      </c>
      <c r="D5" s="331">
        <f>B5</f>
        <v>522430850.19</v>
      </c>
      <c r="E5" s="331">
        <f>Лист2!E8</f>
        <v>2418661.34</v>
      </c>
      <c r="F5" s="332">
        <v>20</v>
      </c>
      <c r="G5" s="333">
        <f>E5*F5/100</f>
        <v>483732.27</v>
      </c>
      <c r="H5" s="334">
        <f>G5+E5</f>
        <v>2902393.61</v>
      </c>
      <c r="I5" s="334">
        <v>0</v>
      </c>
      <c r="J5" s="284" t="str">
        <f>IF(I5=0,"-",A5+19)</f>
        <v>-</v>
      </c>
      <c r="K5" s="334">
        <f>B5</f>
        <v>522430850.19</v>
      </c>
      <c r="L5" s="334">
        <f>K5-M5</f>
        <v>0</v>
      </c>
      <c r="M5" s="334">
        <f>K5</f>
        <v>522430850.19</v>
      </c>
      <c r="N5" s="334">
        <f>I5</f>
        <v>0</v>
      </c>
    </row>
    <row r="6" spans="1:15" ht="19.5" thickBot="1" x14ac:dyDescent="0.35">
      <c r="A6" s="335">
        <v>43435</v>
      </c>
      <c r="B6" s="336">
        <f>B5</f>
        <v>522430850.19</v>
      </c>
      <c r="C6" s="336">
        <f>B6-D6</f>
        <v>0</v>
      </c>
      <c r="D6" s="336">
        <f>B6</f>
        <v>522430850.19</v>
      </c>
      <c r="E6" s="336">
        <f>E5</f>
        <v>2418661.34</v>
      </c>
      <c r="F6" s="337">
        <v>20</v>
      </c>
      <c r="G6" s="338">
        <f>E6*F6/100</f>
        <v>483732.27</v>
      </c>
      <c r="H6" s="339">
        <f>G6+E6</f>
        <v>2902393.61</v>
      </c>
      <c r="I6" s="339">
        <v>0</v>
      </c>
      <c r="J6" s="290" t="str">
        <f>IF(I6=0,"-",A6+19)</f>
        <v>-</v>
      </c>
      <c r="K6" s="339">
        <f>K5</f>
        <v>522430850.19</v>
      </c>
      <c r="L6" s="339">
        <f>K6-M6</f>
        <v>0</v>
      </c>
      <c r="M6" s="339">
        <f>K6</f>
        <v>522430850.19</v>
      </c>
      <c r="N6" s="339">
        <f>N5+I6</f>
        <v>0</v>
      </c>
    </row>
    <row r="7" spans="1:15" ht="19.5" thickBot="1" x14ac:dyDescent="0.35">
      <c r="A7" s="340">
        <v>2018</v>
      </c>
      <c r="B7" s="341">
        <f>B5</f>
        <v>522430850.19</v>
      </c>
      <c r="C7" s="341">
        <f t="shared" ref="C7:D7" si="0">C5</f>
        <v>0</v>
      </c>
      <c r="D7" s="341">
        <f t="shared" si="0"/>
        <v>522430850.19</v>
      </c>
      <c r="E7" s="341">
        <f>SUM(E5:E6)</f>
        <v>4837322.68</v>
      </c>
      <c r="F7" s="342">
        <f>F6</f>
        <v>20</v>
      </c>
      <c r="G7" s="343">
        <f t="shared" ref="G7:I7" si="1">SUM(G5:G6)</f>
        <v>967464.54</v>
      </c>
      <c r="H7" s="344">
        <f t="shared" si="1"/>
        <v>5804787.2199999997</v>
      </c>
      <c r="I7" s="344">
        <f t="shared" si="1"/>
        <v>0</v>
      </c>
      <c r="J7" s="296"/>
      <c r="K7" s="344">
        <f>K6</f>
        <v>522430850.19</v>
      </c>
      <c r="L7" s="344">
        <f t="shared" ref="L7:M7" si="2">L6</f>
        <v>0</v>
      </c>
      <c r="M7" s="344">
        <f t="shared" si="2"/>
        <v>522430850.19</v>
      </c>
      <c r="N7" s="344">
        <f t="shared" ref="N7" si="3">SUM(N5:N6)</f>
        <v>0</v>
      </c>
    </row>
    <row r="8" spans="1:15" x14ac:dyDescent="0.3">
      <c r="A8" s="330">
        <v>43466</v>
      </c>
      <c r="B8" s="331">
        <f>B6</f>
        <v>522430850.19</v>
      </c>
      <c r="C8" s="331">
        <f t="shared" ref="C8:C73" si="4">B8-D8</f>
        <v>0</v>
      </c>
      <c r="D8" s="331">
        <f t="shared" ref="D8:D20" si="5">B8</f>
        <v>522430850.19</v>
      </c>
      <c r="E8" s="331">
        <f>E6</f>
        <v>2418661.34</v>
      </c>
      <c r="F8" s="332">
        <v>20</v>
      </c>
      <c r="G8" s="333">
        <f t="shared" ref="G8:G19" si="6">E8*F8/100</f>
        <v>483732.27</v>
      </c>
      <c r="H8" s="334">
        <f t="shared" ref="H8:H19" si="7">G8+E8</f>
        <v>2902393.61</v>
      </c>
      <c r="I8" s="334">
        <f>H7</f>
        <v>5804787.2199999997</v>
      </c>
      <c r="J8" s="284">
        <f t="shared" ref="J8:J19" si="8">IF(I8=0,"-",A8+19)</f>
        <v>43485</v>
      </c>
      <c r="K8" s="334">
        <f>K6</f>
        <v>522430850.19</v>
      </c>
      <c r="L8" s="334">
        <f t="shared" ref="L8:L71" si="9">K8-M8</f>
        <v>0</v>
      </c>
      <c r="M8" s="334">
        <f t="shared" ref="M8:M32" si="10">K8</f>
        <v>522430850.19</v>
      </c>
      <c r="N8" s="334">
        <f>N6+I8</f>
        <v>5804787.2199999997</v>
      </c>
      <c r="O8" s="345"/>
    </row>
    <row r="9" spans="1:15" x14ac:dyDescent="0.3">
      <c r="A9" s="346">
        <v>43497</v>
      </c>
      <c r="B9" s="347">
        <f>B8</f>
        <v>522430850.19</v>
      </c>
      <c r="C9" s="347">
        <f t="shared" si="4"/>
        <v>0</v>
      </c>
      <c r="D9" s="347">
        <f t="shared" si="5"/>
        <v>522430850.19</v>
      </c>
      <c r="E9" s="347">
        <f>E8</f>
        <v>2418661.34</v>
      </c>
      <c r="F9" s="348">
        <f>F8</f>
        <v>20</v>
      </c>
      <c r="G9" s="349">
        <f t="shared" si="6"/>
        <v>483732.27</v>
      </c>
      <c r="H9" s="350">
        <f t="shared" si="7"/>
        <v>2902393.61</v>
      </c>
      <c r="I9" s="350">
        <v>0</v>
      </c>
      <c r="J9" s="303" t="str">
        <f t="shared" si="8"/>
        <v>-</v>
      </c>
      <c r="K9" s="350">
        <f>K8</f>
        <v>522430850.19</v>
      </c>
      <c r="L9" s="350">
        <f t="shared" si="9"/>
        <v>0</v>
      </c>
      <c r="M9" s="350">
        <f t="shared" si="10"/>
        <v>522430850.19</v>
      </c>
      <c r="N9" s="350">
        <f>N8+I9</f>
        <v>5804787.2199999997</v>
      </c>
    </row>
    <row r="10" spans="1:15" x14ac:dyDescent="0.3">
      <c r="A10" s="346">
        <v>43525</v>
      </c>
      <c r="B10" s="347">
        <f t="shared" ref="B10:B19" si="11">B9</f>
        <v>522430850.19</v>
      </c>
      <c r="C10" s="347">
        <f t="shared" si="4"/>
        <v>0</v>
      </c>
      <c r="D10" s="347">
        <f t="shared" si="5"/>
        <v>522430850.19</v>
      </c>
      <c r="E10" s="347">
        <f t="shared" ref="E10:F19" si="12">E9</f>
        <v>2418661.34</v>
      </c>
      <c r="F10" s="348">
        <f t="shared" si="12"/>
        <v>20</v>
      </c>
      <c r="G10" s="349">
        <f t="shared" si="6"/>
        <v>483732.27</v>
      </c>
      <c r="H10" s="350">
        <f t="shared" si="7"/>
        <v>2902393.61</v>
      </c>
      <c r="I10" s="350">
        <v>0</v>
      </c>
      <c r="J10" s="303" t="str">
        <f t="shared" si="8"/>
        <v>-</v>
      </c>
      <c r="K10" s="350">
        <f t="shared" ref="K10:K20" si="13">K9</f>
        <v>522430850.19</v>
      </c>
      <c r="L10" s="350">
        <f t="shared" si="9"/>
        <v>0</v>
      </c>
      <c r="M10" s="350">
        <f t="shared" si="10"/>
        <v>522430850.19</v>
      </c>
      <c r="N10" s="350">
        <f t="shared" ref="N10:N19" si="14">N9+I10</f>
        <v>5804787.2199999997</v>
      </c>
    </row>
    <row r="11" spans="1:15" x14ac:dyDescent="0.3">
      <c r="A11" s="346">
        <v>43556</v>
      </c>
      <c r="B11" s="347">
        <f t="shared" si="11"/>
        <v>522430850.19</v>
      </c>
      <c r="C11" s="347">
        <f t="shared" si="4"/>
        <v>0</v>
      </c>
      <c r="D11" s="347">
        <f t="shared" si="5"/>
        <v>522430850.19</v>
      </c>
      <c r="E11" s="347">
        <f t="shared" si="12"/>
        <v>2418661.34</v>
      </c>
      <c r="F11" s="348">
        <f t="shared" si="12"/>
        <v>20</v>
      </c>
      <c r="G11" s="349">
        <f t="shared" si="6"/>
        <v>483732.27</v>
      </c>
      <c r="H11" s="350">
        <f t="shared" si="7"/>
        <v>2902393.61</v>
      </c>
      <c r="I11" s="350">
        <f>SUM(H8:H10)</f>
        <v>8707180.8300000001</v>
      </c>
      <c r="J11" s="303">
        <f t="shared" si="8"/>
        <v>43575</v>
      </c>
      <c r="K11" s="350">
        <f t="shared" si="13"/>
        <v>522430850.19</v>
      </c>
      <c r="L11" s="350">
        <f t="shared" si="9"/>
        <v>0</v>
      </c>
      <c r="M11" s="350">
        <f t="shared" si="10"/>
        <v>522430850.19</v>
      </c>
      <c r="N11" s="350">
        <f t="shared" si="14"/>
        <v>14511968.050000001</v>
      </c>
    </row>
    <row r="12" spans="1:15" x14ac:dyDescent="0.3">
      <c r="A12" s="346">
        <v>43586</v>
      </c>
      <c r="B12" s="347">
        <f t="shared" si="11"/>
        <v>522430850.19</v>
      </c>
      <c r="C12" s="347">
        <f t="shared" si="4"/>
        <v>0</v>
      </c>
      <c r="D12" s="347">
        <f t="shared" si="5"/>
        <v>522430850.19</v>
      </c>
      <c r="E12" s="347">
        <f t="shared" si="12"/>
        <v>2418661.34</v>
      </c>
      <c r="F12" s="348">
        <f t="shared" si="12"/>
        <v>20</v>
      </c>
      <c r="G12" s="349">
        <f t="shared" si="6"/>
        <v>483732.27</v>
      </c>
      <c r="H12" s="350">
        <f t="shared" si="7"/>
        <v>2902393.61</v>
      </c>
      <c r="I12" s="350">
        <v>0</v>
      </c>
      <c r="J12" s="303" t="str">
        <f t="shared" si="8"/>
        <v>-</v>
      </c>
      <c r="K12" s="350">
        <f t="shared" si="13"/>
        <v>522430850.19</v>
      </c>
      <c r="L12" s="350">
        <f t="shared" si="9"/>
        <v>0</v>
      </c>
      <c r="M12" s="350">
        <f t="shared" si="10"/>
        <v>522430850.19</v>
      </c>
      <c r="N12" s="350">
        <f t="shared" si="14"/>
        <v>14511968.050000001</v>
      </c>
    </row>
    <row r="13" spans="1:15" x14ac:dyDescent="0.3">
      <c r="A13" s="346">
        <v>43617</v>
      </c>
      <c r="B13" s="347">
        <f t="shared" si="11"/>
        <v>522430850.19</v>
      </c>
      <c r="C13" s="347">
        <f t="shared" si="4"/>
        <v>0</v>
      </c>
      <c r="D13" s="347">
        <f t="shared" si="5"/>
        <v>522430850.19</v>
      </c>
      <c r="E13" s="347">
        <f t="shared" si="12"/>
        <v>2418661.34</v>
      </c>
      <c r="F13" s="348">
        <f t="shared" si="12"/>
        <v>20</v>
      </c>
      <c r="G13" s="349">
        <f t="shared" si="6"/>
        <v>483732.27</v>
      </c>
      <c r="H13" s="350">
        <f t="shared" si="7"/>
        <v>2902393.61</v>
      </c>
      <c r="I13" s="350">
        <v>0</v>
      </c>
      <c r="J13" s="303" t="str">
        <f t="shared" si="8"/>
        <v>-</v>
      </c>
      <c r="K13" s="350">
        <f t="shared" si="13"/>
        <v>522430850.19</v>
      </c>
      <c r="L13" s="350">
        <f t="shared" si="9"/>
        <v>0</v>
      </c>
      <c r="M13" s="350">
        <f t="shared" si="10"/>
        <v>522430850.19</v>
      </c>
      <c r="N13" s="350">
        <f t="shared" si="14"/>
        <v>14511968.050000001</v>
      </c>
    </row>
    <row r="14" spans="1:15" x14ac:dyDescent="0.3">
      <c r="A14" s="346">
        <v>43647</v>
      </c>
      <c r="B14" s="347">
        <f t="shared" si="11"/>
        <v>522430850.19</v>
      </c>
      <c r="C14" s="347">
        <f t="shared" si="4"/>
        <v>0</v>
      </c>
      <c r="D14" s="347">
        <f t="shared" si="5"/>
        <v>522430850.19</v>
      </c>
      <c r="E14" s="347">
        <f t="shared" si="12"/>
        <v>2418661.34</v>
      </c>
      <c r="F14" s="348">
        <f t="shared" si="12"/>
        <v>20</v>
      </c>
      <c r="G14" s="349">
        <f t="shared" si="6"/>
        <v>483732.27</v>
      </c>
      <c r="H14" s="350">
        <f t="shared" si="7"/>
        <v>2902393.61</v>
      </c>
      <c r="I14" s="350">
        <f>SUM(H11:H13)</f>
        <v>8707180.8300000001</v>
      </c>
      <c r="J14" s="303">
        <f t="shared" si="8"/>
        <v>43666</v>
      </c>
      <c r="K14" s="350">
        <f t="shared" si="13"/>
        <v>522430850.19</v>
      </c>
      <c r="L14" s="350">
        <f t="shared" si="9"/>
        <v>0</v>
      </c>
      <c r="M14" s="350">
        <f t="shared" si="10"/>
        <v>522430850.19</v>
      </c>
      <c r="N14" s="350">
        <f t="shared" si="14"/>
        <v>23219148.879999999</v>
      </c>
    </row>
    <row r="15" spans="1:15" x14ac:dyDescent="0.3">
      <c r="A15" s="346">
        <v>43678</v>
      </c>
      <c r="B15" s="347">
        <f t="shared" si="11"/>
        <v>522430850.19</v>
      </c>
      <c r="C15" s="347">
        <f t="shared" si="4"/>
        <v>0</v>
      </c>
      <c r="D15" s="347">
        <f t="shared" si="5"/>
        <v>522430850.19</v>
      </c>
      <c r="E15" s="347">
        <f t="shared" si="12"/>
        <v>2418661.34</v>
      </c>
      <c r="F15" s="348">
        <f t="shared" si="12"/>
        <v>20</v>
      </c>
      <c r="G15" s="349">
        <f t="shared" si="6"/>
        <v>483732.27</v>
      </c>
      <c r="H15" s="350">
        <f t="shared" si="7"/>
        <v>2902393.61</v>
      </c>
      <c r="I15" s="350">
        <v>0</v>
      </c>
      <c r="J15" s="303" t="str">
        <f t="shared" si="8"/>
        <v>-</v>
      </c>
      <c r="K15" s="350">
        <f t="shared" si="13"/>
        <v>522430850.19</v>
      </c>
      <c r="L15" s="350">
        <f t="shared" si="9"/>
        <v>0</v>
      </c>
      <c r="M15" s="350">
        <f t="shared" si="10"/>
        <v>522430850.19</v>
      </c>
      <c r="N15" s="350">
        <f t="shared" si="14"/>
        <v>23219148.879999999</v>
      </c>
    </row>
    <row r="16" spans="1:15" x14ac:dyDescent="0.3">
      <c r="A16" s="346">
        <v>43709</v>
      </c>
      <c r="B16" s="347">
        <f t="shared" si="11"/>
        <v>522430850.19</v>
      </c>
      <c r="C16" s="347">
        <f t="shared" si="4"/>
        <v>0</v>
      </c>
      <c r="D16" s="347">
        <f t="shared" si="5"/>
        <v>522430850.19</v>
      </c>
      <c r="E16" s="347">
        <f t="shared" si="12"/>
        <v>2418661.34</v>
      </c>
      <c r="F16" s="348">
        <f t="shared" si="12"/>
        <v>20</v>
      </c>
      <c r="G16" s="349">
        <f t="shared" si="6"/>
        <v>483732.27</v>
      </c>
      <c r="H16" s="350">
        <f t="shared" si="7"/>
        <v>2902393.61</v>
      </c>
      <c r="I16" s="350">
        <v>0</v>
      </c>
      <c r="J16" s="303" t="str">
        <f t="shared" si="8"/>
        <v>-</v>
      </c>
      <c r="K16" s="350">
        <f t="shared" si="13"/>
        <v>522430850.19</v>
      </c>
      <c r="L16" s="350">
        <f t="shared" si="9"/>
        <v>0</v>
      </c>
      <c r="M16" s="350">
        <f t="shared" si="10"/>
        <v>522430850.19</v>
      </c>
      <c r="N16" s="350">
        <f t="shared" si="14"/>
        <v>23219148.879999999</v>
      </c>
    </row>
    <row r="17" spans="1:14" x14ac:dyDescent="0.3">
      <c r="A17" s="346">
        <v>43739</v>
      </c>
      <c r="B17" s="347">
        <f t="shared" si="11"/>
        <v>522430850.19</v>
      </c>
      <c r="C17" s="347">
        <f t="shared" si="4"/>
        <v>0</v>
      </c>
      <c r="D17" s="347">
        <f t="shared" si="5"/>
        <v>522430850.19</v>
      </c>
      <c r="E17" s="347">
        <f t="shared" si="12"/>
        <v>2418661.34</v>
      </c>
      <c r="F17" s="348">
        <f t="shared" si="12"/>
        <v>20</v>
      </c>
      <c r="G17" s="349">
        <f t="shared" si="6"/>
        <v>483732.27</v>
      </c>
      <c r="H17" s="350">
        <f t="shared" si="7"/>
        <v>2902393.61</v>
      </c>
      <c r="I17" s="350">
        <f>SUM(H14:H16)</f>
        <v>8707180.8300000001</v>
      </c>
      <c r="J17" s="303">
        <f t="shared" si="8"/>
        <v>43758</v>
      </c>
      <c r="K17" s="350">
        <f t="shared" si="13"/>
        <v>522430850.19</v>
      </c>
      <c r="L17" s="350">
        <f t="shared" si="9"/>
        <v>0</v>
      </c>
      <c r="M17" s="350">
        <f t="shared" si="10"/>
        <v>522430850.19</v>
      </c>
      <c r="N17" s="350">
        <f t="shared" si="14"/>
        <v>31926329.710000001</v>
      </c>
    </row>
    <row r="18" spans="1:14" x14ac:dyDescent="0.3">
      <c r="A18" s="346">
        <v>43770</v>
      </c>
      <c r="B18" s="347">
        <f t="shared" si="11"/>
        <v>522430850.19</v>
      </c>
      <c r="C18" s="347">
        <f t="shared" si="4"/>
        <v>0</v>
      </c>
      <c r="D18" s="347">
        <f t="shared" si="5"/>
        <v>522430850.19</v>
      </c>
      <c r="E18" s="347">
        <f t="shared" si="12"/>
        <v>2418661.34</v>
      </c>
      <c r="F18" s="348">
        <f t="shared" si="12"/>
        <v>20</v>
      </c>
      <c r="G18" s="349">
        <f t="shared" si="6"/>
        <v>483732.27</v>
      </c>
      <c r="H18" s="350">
        <f t="shared" si="7"/>
        <v>2902393.61</v>
      </c>
      <c r="I18" s="350">
        <v>0</v>
      </c>
      <c r="J18" s="303" t="str">
        <f t="shared" si="8"/>
        <v>-</v>
      </c>
      <c r="K18" s="350">
        <f t="shared" si="13"/>
        <v>522430850.19</v>
      </c>
      <c r="L18" s="350">
        <f t="shared" si="9"/>
        <v>0</v>
      </c>
      <c r="M18" s="350">
        <f t="shared" si="10"/>
        <v>522430850.19</v>
      </c>
      <c r="N18" s="350">
        <f t="shared" si="14"/>
        <v>31926329.710000001</v>
      </c>
    </row>
    <row r="19" spans="1:14" ht="19.5" thickBot="1" x14ac:dyDescent="0.35">
      <c r="A19" s="335">
        <v>43800</v>
      </c>
      <c r="B19" s="336">
        <f t="shared" si="11"/>
        <v>522430850.19</v>
      </c>
      <c r="C19" s="336">
        <f t="shared" si="4"/>
        <v>0</v>
      </c>
      <c r="D19" s="336">
        <f t="shared" si="5"/>
        <v>522430850.19</v>
      </c>
      <c r="E19" s="336">
        <f t="shared" si="12"/>
        <v>2418661.34</v>
      </c>
      <c r="F19" s="337">
        <f t="shared" si="12"/>
        <v>20</v>
      </c>
      <c r="G19" s="338">
        <f t="shared" si="6"/>
        <v>483732.27</v>
      </c>
      <c r="H19" s="339">
        <f t="shared" si="7"/>
        <v>2902393.61</v>
      </c>
      <c r="I19" s="339">
        <v>0</v>
      </c>
      <c r="J19" s="290" t="str">
        <f t="shared" si="8"/>
        <v>-</v>
      </c>
      <c r="K19" s="339">
        <f t="shared" si="13"/>
        <v>522430850.19</v>
      </c>
      <c r="L19" s="339">
        <f t="shared" si="9"/>
        <v>0</v>
      </c>
      <c r="M19" s="339">
        <f t="shared" si="10"/>
        <v>522430850.19</v>
      </c>
      <c r="N19" s="339">
        <f t="shared" si="14"/>
        <v>31926329.710000001</v>
      </c>
    </row>
    <row r="20" spans="1:14" s="351" customFormat="1" ht="19.5" thickBot="1" x14ac:dyDescent="0.35">
      <c r="A20" s="340">
        <v>2019</v>
      </c>
      <c r="B20" s="341">
        <f>B8</f>
        <v>522430850.19</v>
      </c>
      <c r="C20" s="341">
        <f t="shared" si="4"/>
        <v>0</v>
      </c>
      <c r="D20" s="341">
        <f t="shared" si="5"/>
        <v>522430850.19</v>
      </c>
      <c r="E20" s="341">
        <f>SUM(E8:E19)</f>
        <v>29023936.079999998</v>
      </c>
      <c r="F20" s="342">
        <f t="shared" ref="F20:F83" si="15">F19</f>
        <v>20</v>
      </c>
      <c r="G20" s="343">
        <f t="shared" ref="G20:I20" si="16">SUM(G8:G19)</f>
        <v>5804787.2400000002</v>
      </c>
      <c r="H20" s="344">
        <f t="shared" si="16"/>
        <v>34828723.32</v>
      </c>
      <c r="I20" s="344">
        <f t="shared" si="16"/>
        <v>31926329.710000001</v>
      </c>
      <c r="J20" s="296"/>
      <c r="K20" s="344">
        <f t="shared" si="13"/>
        <v>522430850.19</v>
      </c>
      <c r="L20" s="344">
        <f t="shared" ref="L20:M20" si="17">L19</f>
        <v>0</v>
      </c>
      <c r="M20" s="344">
        <f t="shared" si="17"/>
        <v>522430850.19</v>
      </c>
      <c r="N20" s="344">
        <f>N19</f>
        <v>31926329.710000001</v>
      </c>
    </row>
    <row r="21" spans="1:14" x14ac:dyDescent="0.3">
      <c r="A21" s="330">
        <v>43831</v>
      </c>
      <c r="B21" s="331">
        <f>B19</f>
        <v>522430850.19</v>
      </c>
      <c r="C21" s="331">
        <f t="shared" si="4"/>
        <v>0</v>
      </c>
      <c r="D21" s="331">
        <f t="shared" ref="D21:D33" si="18">B21</f>
        <v>522430850.19</v>
      </c>
      <c r="E21" s="331">
        <f>E8</f>
        <v>2418661.34</v>
      </c>
      <c r="F21" s="332">
        <f t="shared" si="15"/>
        <v>20</v>
      </c>
      <c r="G21" s="333">
        <f t="shared" ref="G21:G32" si="19">E21*F21/100</f>
        <v>483732.27</v>
      </c>
      <c r="H21" s="334">
        <f t="shared" ref="H21:H32" si="20">G21+E21</f>
        <v>2902393.61</v>
      </c>
      <c r="I21" s="334">
        <f>SUM(H17:H19)</f>
        <v>8707180.8300000001</v>
      </c>
      <c r="J21" s="284">
        <f t="shared" ref="J21:J32" si="21">IF(I21=0,"-",A21+19)</f>
        <v>43850</v>
      </c>
      <c r="K21" s="334">
        <f>K19</f>
        <v>522430850.19</v>
      </c>
      <c r="L21" s="334">
        <f t="shared" si="9"/>
        <v>0</v>
      </c>
      <c r="M21" s="334">
        <f t="shared" si="10"/>
        <v>522430850.19</v>
      </c>
      <c r="N21" s="334">
        <f>N19+I21</f>
        <v>40633510.539999999</v>
      </c>
    </row>
    <row r="22" spans="1:14" x14ac:dyDescent="0.3">
      <c r="A22" s="346">
        <v>43862</v>
      </c>
      <c r="B22" s="347">
        <f>B21</f>
        <v>522430850.19</v>
      </c>
      <c r="C22" s="347">
        <f t="shared" si="4"/>
        <v>0</v>
      </c>
      <c r="D22" s="347">
        <f t="shared" si="18"/>
        <v>522430850.19</v>
      </c>
      <c r="E22" s="347">
        <f>E21</f>
        <v>2418661.34</v>
      </c>
      <c r="F22" s="348">
        <f t="shared" si="15"/>
        <v>20</v>
      </c>
      <c r="G22" s="349">
        <f t="shared" si="19"/>
        <v>483732.27</v>
      </c>
      <c r="H22" s="350">
        <f t="shared" si="20"/>
        <v>2902393.61</v>
      </c>
      <c r="I22" s="350">
        <v>0</v>
      </c>
      <c r="J22" s="303" t="str">
        <f t="shared" si="21"/>
        <v>-</v>
      </c>
      <c r="K22" s="350">
        <f>K21</f>
        <v>522430850.19</v>
      </c>
      <c r="L22" s="350">
        <f t="shared" si="9"/>
        <v>0</v>
      </c>
      <c r="M22" s="350">
        <f t="shared" si="10"/>
        <v>522430850.19</v>
      </c>
      <c r="N22" s="350">
        <f>N21+I22</f>
        <v>40633510.539999999</v>
      </c>
    </row>
    <row r="23" spans="1:14" x14ac:dyDescent="0.3">
      <c r="A23" s="346">
        <v>43891</v>
      </c>
      <c r="B23" s="347">
        <f t="shared" ref="B23:B32" si="22">B22</f>
        <v>522430850.19</v>
      </c>
      <c r="C23" s="347">
        <f t="shared" si="4"/>
        <v>0</v>
      </c>
      <c r="D23" s="347">
        <f t="shared" si="18"/>
        <v>522430850.19</v>
      </c>
      <c r="E23" s="347">
        <f t="shared" ref="E23:E32" si="23">E22</f>
        <v>2418661.34</v>
      </c>
      <c r="F23" s="348">
        <f t="shared" si="15"/>
        <v>20</v>
      </c>
      <c r="G23" s="349">
        <f t="shared" si="19"/>
        <v>483732.27</v>
      </c>
      <c r="H23" s="350">
        <f t="shared" si="20"/>
        <v>2902393.61</v>
      </c>
      <c r="I23" s="350">
        <v>0</v>
      </c>
      <c r="J23" s="303" t="str">
        <f t="shared" si="21"/>
        <v>-</v>
      </c>
      <c r="K23" s="350">
        <f t="shared" ref="K23:K33" si="24">K22</f>
        <v>522430850.19</v>
      </c>
      <c r="L23" s="350">
        <f t="shared" si="9"/>
        <v>0</v>
      </c>
      <c r="M23" s="350">
        <f t="shared" si="10"/>
        <v>522430850.19</v>
      </c>
      <c r="N23" s="350">
        <f t="shared" ref="N23:N32" si="25">N22+I23</f>
        <v>40633510.539999999</v>
      </c>
    </row>
    <row r="24" spans="1:14" x14ac:dyDescent="0.3">
      <c r="A24" s="346">
        <v>43922</v>
      </c>
      <c r="B24" s="347">
        <f t="shared" si="22"/>
        <v>522430850.19</v>
      </c>
      <c r="C24" s="347">
        <f t="shared" si="4"/>
        <v>0</v>
      </c>
      <c r="D24" s="347">
        <f t="shared" si="18"/>
        <v>522430850.19</v>
      </c>
      <c r="E24" s="347">
        <f t="shared" si="23"/>
        <v>2418661.34</v>
      </c>
      <c r="F24" s="348">
        <f t="shared" si="15"/>
        <v>20</v>
      </c>
      <c r="G24" s="349">
        <f t="shared" si="19"/>
        <v>483732.27</v>
      </c>
      <c r="H24" s="350">
        <f t="shared" si="20"/>
        <v>2902393.61</v>
      </c>
      <c r="I24" s="350">
        <f>SUM(H21:H23)</f>
        <v>8707180.8300000001</v>
      </c>
      <c r="J24" s="303">
        <f t="shared" si="21"/>
        <v>43941</v>
      </c>
      <c r="K24" s="350">
        <f t="shared" si="24"/>
        <v>522430850.19</v>
      </c>
      <c r="L24" s="350">
        <f t="shared" si="9"/>
        <v>0</v>
      </c>
      <c r="M24" s="350">
        <f t="shared" si="10"/>
        <v>522430850.19</v>
      </c>
      <c r="N24" s="350">
        <f t="shared" si="25"/>
        <v>49340691.369999997</v>
      </c>
    </row>
    <row r="25" spans="1:14" x14ac:dyDescent="0.3">
      <c r="A25" s="346">
        <v>43952</v>
      </c>
      <c r="B25" s="347">
        <f t="shared" si="22"/>
        <v>522430850.19</v>
      </c>
      <c r="C25" s="347">
        <f t="shared" si="4"/>
        <v>0</v>
      </c>
      <c r="D25" s="347">
        <f t="shared" si="18"/>
        <v>522430850.19</v>
      </c>
      <c r="E25" s="347">
        <f t="shared" si="23"/>
        <v>2418661.34</v>
      </c>
      <c r="F25" s="348">
        <f t="shared" si="15"/>
        <v>20</v>
      </c>
      <c r="G25" s="349">
        <f t="shared" si="19"/>
        <v>483732.27</v>
      </c>
      <c r="H25" s="350">
        <f t="shared" si="20"/>
        <v>2902393.61</v>
      </c>
      <c r="I25" s="350">
        <v>0</v>
      </c>
      <c r="J25" s="303" t="str">
        <f t="shared" si="21"/>
        <v>-</v>
      </c>
      <c r="K25" s="350">
        <f t="shared" si="24"/>
        <v>522430850.19</v>
      </c>
      <c r="L25" s="350">
        <f t="shared" si="9"/>
        <v>0</v>
      </c>
      <c r="M25" s="350">
        <f t="shared" si="10"/>
        <v>522430850.19</v>
      </c>
      <c r="N25" s="350">
        <f t="shared" si="25"/>
        <v>49340691.369999997</v>
      </c>
    </row>
    <row r="26" spans="1:14" x14ac:dyDescent="0.3">
      <c r="A26" s="346">
        <v>43983</v>
      </c>
      <c r="B26" s="347">
        <f t="shared" si="22"/>
        <v>522430850.19</v>
      </c>
      <c r="C26" s="347">
        <f t="shared" si="4"/>
        <v>0</v>
      </c>
      <c r="D26" s="347">
        <f t="shared" si="18"/>
        <v>522430850.19</v>
      </c>
      <c r="E26" s="347">
        <f t="shared" si="23"/>
        <v>2418661.34</v>
      </c>
      <c r="F26" s="348">
        <f t="shared" si="15"/>
        <v>20</v>
      </c>
      <c r="G26" s="349">
        <f t="shared" si="19"/>
        <v>483732.27</v>
      </c>
      <c r="H26" s="350">
        <f t="shared" si="20"/>
        <v>2902393.61</v>
      </c>
      <c r="I26" s="350">
        <v>0</v>
      </c>
      <c r="J26" s="303" t="str">
        <f t="shared" si="21"/>
        <v>-</v>
      </c>
      <c r="K26" s="350">
        <f t="shared" si="24"/>
        <v>522430850.19</v>
      </c>
      <c r="L26" s="350">
        <f t="shared" si="9"/>
        <v>0</v>
      </c>
      <c r="M26" s="350">
        <f t="shared" si="10"/>
        <v>522430850.19</v>
      </c>
      <c r="N26" s="350">
        <f t="shared" si="25"/>
        <v>49340691.369999997</v>
      </c>
    </row>
    <row r="27" spans="1:14" x14ac:dyDescent="0.3">
      <c r="A27" s="346">
        <v>44013</v>
      </c>
      <c r="B27" s="347">
        <f t="shared" si="22"/>
        <v>522430850.19</v>
      </c>
      <c r="C27" s="347">
        <f t="shared" si="4"/>
        <v>0</v>
      </c>
      <c r="D27" s="347">
        <f t="shared" si="18"/>
        <v>522430850.19</v>
      </c>
      <c r="E27" s="347">
        <f t="shared" si="23"/>
        <v>2418661.34</v>
      </c>
      <c r="F27" s="348">
        <f t="shared" si="15"/>
        <v>20</v>
      </c>
      <c r="G27" s="349">
        <f t="shared" si="19"/>
        <v>483732.27</v>
      </c>
      <c r="H27" s="350">
        <f t="shared" si="20"/>
        <v>2902393.61</v>
      </c>
      <c r="I27" s="350">
        <f>SUM(H24:H26)</f>
        <v>8707180.8300000001</v>
      </c>
      <c r="J27" s="303">
        <f t="shared" si="21"/>
        <v>44032</v>
      </c>
      <c r="K27" s="350">
        <f t="shared" si="24"/>
        <v>522430850.19</v>
      </c>
      <c r="L27" s="350">
        <f t="shared" si="9"/>
        <v>0</v>
      </c>
      <c r="M27" s="350">
        <f t="shared" si="10"/>
        <v>522430850.19</v>
      </c>
      <c r="N27" s="350">
        <f t="shared" si="25"/>
        <v>58047872.200000003</v>
      </c>
    </row>
    <row r="28" spans="1:14" x14ac:dyDescent="0.3">
      <c r="A28" s="346">
        <v>44044</v>
      </c>
      <c r="B28" s="347">
        <f t="shared" si="22"/>
        <v>522430850.19</v>
      </c>
      <c r="C28" s="347">
        <f t="shared" si="4"/>
        <v>0</v>
      </c>
      <c r="D28" s="347">
        <f t="shared" si="18"/>
        <v>522430850.19</v>
      </c>
      <c r="E28" s="347">
        <f t="shared" si="23"/>
        <v>2418661.34</v>
      </c>
      <c r="F28" s="348">
        <f t="shared" si="15"/>
        <v>20</v>
      </c>
      <c r="G28" s="349">
        <f t="shared" si="19"/>
        <v>483732.27</v>
      </c>
      <c r="H28" s="350">
        <f t="shared" si="20"/>
        <v>2902393.61</v>
      </c>
      <c r="I28" s="350">
        <v>0</v>
      </c>
      <c r="J28" s="303" t="str">
        <f t="shared" si="21"/>
        <v>-</v>
      </c>
      <c r="K28" s="350">
        <f t="shared" si="24"/>
        <v>522430850.19</v>
      </c>
      <c r="L28" s="350">
        <f t="shared" si="9"/>
        <v>0</v>
      </c>
      <c r="M28" s="350">
        <f t="shared" si="10"/>
        <v>522430850.19</v>
      </c>
      <c r="N28" s="350">
        <f t="shared" si="25"/>
        <v>58047872.200000003</v>
      </c>
    </row>
    <row r="29" spans="1:14" x14ac:dyDescent="0.3">
      <c r="A29" s="346">
        <v>44075</v>
      </c>
      <c r="B29" s="347">
        <f t="shared" si="22"/>
        <v>522430850.19</v>
      </c>
      <c r="C29" s="347">
        <f t="shared" si="4"/>
        <v>0</v>
      </c>
      <c r="D29" s="347">
        <f t="shared" si="18"/>
        <v>522430850.19</v>
      </c>
      <c r="E29" s="347">
        <f t="shared" si="23"/>
        <v>2418661.34</v>
      </c>
      <c r="F29" s="348">
        <f t="shared" si="15"/>
        <v>20</v>
      </c>
      <c r="G29" s="349">
        <f t="shared" si="19"/>
        <v>483732.27</v>
      </c>
      <c r="H29" s="350">
        <f t="shared" si="20"/>
        <v>2902393.61</v>
      </c>
      <c r="I29" s="350">
        <v>0</v>
      </c>
      <c r="J29" s="303" t="str">
        <f t="shared" si="21"/>
        <v>-</v>
      </c>
      <c r="K29" s="350">
        <f t="shared" si="24"/>
        <v>522430850.19</v>
      </c>
      <c r="L29" s="350">
        <f t="shared" si="9"/>
        <v>0</v>
      </c>
      <c r="M29" s="350">
        <f t="shared" si="10"/>
        <v>522430850.19</v>
      </c>
      <c r="N29" s="350">
        <f t="shared" si="25"/>
        <v>58047872.200000003</v>
      </c>
    </row>
    <row r="30" spans="1:14" x14ac:dyDescent="0.3">
      <c r="A30" s="346">
        <v>44105</v>
      </c>
      <c r="B30" s="347">
        <f t="shared" si="22"/>
        <v>522430850.19</v>
      </c>
      <c r="C30" s="347">
        <f t="shared" si="4"/>
        <v>0</v>
      </c>
      <c r="D30" s="347">
        <f t="shared" si="18"/>
        <v>522430850.19</v>
      </c>
      <c r="E30" s="347">
        <f t="shared" si="23"/>
        <v>2418661.34</v>
      </c>
      <c r="F30" s="348">
        <f t="shared" si="15"/>
        <v>20</v>
      </c>
      <c r="G30" s="349">
        <f t="shared" si="19"/>
        <v>483732.27</v>
      </c>
      <c r="H30" s="350">
        <f t="shared" si="20"/>
        <v>2902393.61</v>
      </c>
      <c r="I30" s="350">
        <f>SUM(H27:H29)</f>
        <v>8707180.8300000001</v>
      </c>
      <c r="J30" s="303">
        <f t="shared" si="21"/>
        <v>44124</v>
      </c>
      <c r="K30" s="350">
        <f t="shared" si="24"/>
        <v>522430850.19</v>
      </c>
      <c r="L30" s="350">
        <f t="shared" si="9"/>
        <v>0</v>
      </c>
      <c r="M30" s="350">
        <f t="shared" si="10"/>
        <v>522430850.19</v>
      </c>
      <c r="N30" s="350">
        <f t="shared" si="25"/>
        <v>66755053.030000001</v>
      </c>
    </row>
    <row r="31" spans="1:14" x14ac:dyDescent="0.3">
      <c r="A31" s="346">
        <v>44136</v>
      </c>
      <c r="B31" s="347">
        <f t="shared" si="22"/>
        <v>522430850.19</v>
      </c>
      <c r="C31" s="347">
        <f t="shared" si="4"/>
        <v>0</v>
      </c>
      <c r="D31" s="347">
        <f t="shared" si="18"/>
        <v>522430850.19</v>
      </c>
      <c r="E31" s="347">
        <f t="shared" si="23"/>
        <v>2418661.34</v>
      </c>
      <c r="F31" s="348">
        <f t="shared" si="15"/>
        <v>20</v>
      </c>
      <c r="G31" s="349">
        <f t="shared" si="19"/>
        <v>483732.27</v>
      </c>
      <c r="H31" s="350">
        <f t="shared" si="20"/>
        <v>2902393.61</v>
      </c>
      <c r="I31" s="350">
        <v>0</v>
      </c>
      <c r="J31" s="303" t="str">
        <f t="shared" si="21"/>
        <v>-</v>
      </c>
      <c r="K31" s="350">
        <f t="shared" si="24"/>
        <v>522430850.19</v>
      </c>
      <c r="L31" s="350">
        <f t="shared" si="9"/>
        <v>0</v>
      </c>
      <c r="M31" s="350">
        <f t="shared" si="10"/>
        <v>522430850.19</v>
      </c>
      <c r="N31" s="350">
        <f t="shared" si="25"/>
        <v>66755053.030000001</v>
      </c>
    </row>
    <row r="32" spans="1:14" ht="19.5" thickBot="1" x14ac:dyDescent="0.35">
      <c r="A32" s="335">
        <v>44166</v>
      </c>
      <c r="B32" s="336">
        <f t="shared" si="22"/>
        <v>522430850.19</v>
      </c>
      <c r="C32" s="336">
        <f t="shared" si="4"/>
        <v>0</v>
      </c>
      <c r="D32" s="336">
        <f t="shared" si="18"/>
        <v>522430850.19</v>
      </c>
      <c r="E32" s="336">
        <f t="shared" si="23"/>
        <v>2418661.34</v>
      </c>
      <c r="F32" s="337">
        <f t="shared" si="15"/>
        <v>20</v>
      </c>
      <c r="G32" s="338">
        <f t="shared" si="19"/>
        <v>483732.27</v>
      </c>
      <c r="H32" s="339">
        <f t="shared" si="20"/>
        <v>2902393.61</v>
      </c>
      <c r="I32" s="339">
        <v>0</v>
      </c>
      <c r="J32" s="290" t="str">
        <f t="shared" si="21"/>
        <v>-</v>
      </c>
      <c r="K32" s="339">
        <f t="shared" si="24"/>
        <v>522430850.19</v>
      </c>
      <c r="L32" s="339">
        <f t="shared" si="9"/>
        <v>0</v>
      </c>
      <c r="M32" s="339">
        <f t="shared" si="10"/>
        <v>522430850.19</v>
      </c>
      <c r="N32" s="339">
        <f t="shared" si="25"/>
        <v>66755053.030000001</v>
      </c>
    </row>
    <row r="33" spans="1:14" s="351" customFormat="1" ht="19.5" thickBot="1" x14ac:dyDescent="0.35">
      <c r="A33" s="340">
        <v>2020</v>
      </c>
      <c r="B33" s="341">
        <f t="shared" ref="B33" si="26">B21</f>
        <v>522430850.19</v>
      </c>
      <c r="C33" s="341">
        <f t="shared" si="4"/>
        <v>0</v>
      </c>
      <c r="D33" s="341">
        <f t="shared" si="18"/>
        <v>522430850.19</v>
      </c>
      <c r="E33" s="341">
        <f>SUM(E21:E32)</f>
        <v>29023936.079999998</v>
      </c>
      <c r="F33" s="342">
        <f t="shared" si="15"/>
        <v>20</v>
      </c>
      <c r="G33" s="343">
        <f t="shared" ref="G33:I33" si="27">SUM(G21:G32)</f>
        <v>5804787.2400000002</v>
      </c>
      <c r="H33" s="344">
        <f t="shared" si="27"/>
        <v>34828723.32</v>
      </c>
      <c r="I33" s="344">
        <f t="shared" si="27"/>
        <v>34828723.32</v>
      </c>
      <c r="J33" s="296"/>
      <c r="K33" s="344">
        <f t="shared" si="24"/>
        <v>522430850.19</v>
      </c>
      <c r="L33" s="344">
        <f t="shared" ref="L33:M33" si="28">L32</f>
        <v>0</v>
      </c>
      <c r="M33" s="344">
        <f t="shared" si="28"/>
        <v>522430850.19</v>
      </c>
      <c r="N33" s="344">
        <f>N32</f>
        <v>66755053.030000001</v>
      </c>
    </row>
    <row r="34" spans="1:14" x14ac:dyDescent="0.3">
      <c r="A34" s="330">
        <v>44197</v>
      </c>
      <c r="B34" s="331">
        <f t="shared" ref="B34" si="29">B32</f>
        <v>522430850.19</v>
      </c>
      <c r="C34" s="331">
        <f t="shared" si="4"/>
        <v>0</v>
      </c>
      <c r="D34" s="331">
        <f t="shared" ref="D34:D97" si="30">B34</f>
        <v>522430850.19</v>
      </c>
      <c r="E34" s="331">
        <f t="shared" ref="E34" si="31">E21</f>
        <v>2418661.34</v>
      </c>
      <c r="F34" s="332">
        <f t="shared" si="15"/>
        <v>20</v>
      </c>
      <c r="G34" s="333">
        <f t="shared" ref="G34:G45" si="32">E34*F34/100</f>
        <v>483732.27</v>
      </c>
      <c r="H34" s="334">
        <f t="shared" ref="H34:H45" si="33">G34+E34</f>
        <v>2902393.61</v>
      </c>
      <c r="I34" s="334">
        <f t="shared" ref="I34" si="34">SUM(H30:H32)</f>
        <v>8707180.8300000001</v>
      </c>
      <c r="J34" s="284">
        <f t="shared" ref="J34:J45" si="35">IF(I34=0,"-",A34+19)</f>
        <v>44216</v>
      </c>
      <c r="K34" s="334">
        <f t="shared" ref="K34" si="36">K32</f>
        <v>522430850.19</v>
      </c>
      <c r="L34" s="334">
        <f t="shared" si="9"/>
        <v>0</v>
      </c>
      <c r="M34" s="334">
        <f t="shared" ref="M34:M45" si="37">K34</f>
        <v>522430850.19</v>
      </c>
      <c r="N34" s="334">
        <f t="shared" ref="N34" si="38">N32+I34</f>
        <v>75462233.859999999</v>
      </c>
    </row>
    <row r="35" spans="1:14" x14ac:dyDescent="0.3">
      <c r="A35" s="346">
        <v>44228</v>
      </c>
      <c r="B35" s="347">
        <f t="shared" ref="B35:B45" si="39">B34</f>
        <v>522430850.19</v>
      </c>
      <c r="C35" s="347">
        <f t="shared" si="4"/>
        <v>0</v>
      </c>
      <c r="D35" s="347">
        <f t="shared" si="30"/>
        <v>522430850.19</v>
      </c>
      <c r="E35" s="347">
        <f t="shared" ref="E35:E45" si="40">E34</f>
        <v>2418661.34</v>
      </c>
      <c r="F35" s="348">
        <f t="shared" si="15"/>
        <v>20</v>
      </c>
      <c r="G35" s="349">
        <f t="shared" si="32"/>
        <v>483732.27</v>
      </c>
      <c r="H35" s="350">
        <f t="shared" si="33"/>
        <v>2902393.61</v>
      </c>
      <c r="I35" s="350">
        <v>0</v>
      </c>
      <c r="J35" s="303" t="str">
        <f t="shared" si="35"/>
        <v>-</v>
      </c>
      <c r="K35" s="350">
        <f t="shared" ref="K35:K46" si="41">K34</f>
        <v>522430850.19</v>
      </c>
      <c r="L35" s="350">
        <f t="shared" si="9"/>
        <v>0</v>
      </c>
      <c r="M35" s="350">
        <f t="shared" si="37"/>
        <v>522430850.19</v>
      </c>
      <c r="N35" s="350">
        <f t="shared" ref="N35:N97" si="42">N34+I35</f>
        <v>75462233.859999999</v>
      </c>
    </row>
    <row r="36" spans="1:14" x14ac:dyDescent="0.3">
      <c r="A36" s="346">
        <v>44256</v>
      </c>
      <c r="B36" s="347">
        <f t="shared" si="39"/>
        <v>522430850.19</v>
      </c>
      <c r="C36" s="347">
        <f t="shared" si="4"/>
        <v>0</v>
      </c>
      <c r="D36" s="347">
        <f t="shared" si="30"/>
        <v>522430850.19</v>
      </c>
      <c r="E36" s="347">
        <f t="shared" si="40"/>
        <v>2418661.34</v>
      </c>
      <c r="F36" s="348">
        <f t="shared" si="15"/>
        <v>20</v>
      </c>
      <c r="G36" s="349">
        <f t="shared" si="32"/>
        <v>483732.27</v>
      </c>
      <c r="H36" s="350">
        <f t="shared" si="33"/>
        <v>2902393.61</v>
      </c>
      <c r="I36" s="350">
        <v>0</v>
      </c>
      <c r="J36" s="303" t="str">
        <f t="shared" si="35"/>
        <v>-</v>
      </c>
      <c r="K36" s="350">
        <f t="shared" si="41"/>
        <v>522430850.19</v>
      </c>
      <c r="L36" s="350">
        <f t="shared" si="9"/>
        <v>0</v>
      </c>
      <c r="M36" s="350">
        <f t="shared" si="37"/>
        <v>522430850.19</v>
      </c>
      <c r="N36" s="350">
        <f t="shared" si="42"/>
        <v>75462233.859999999</v>
      </c>
    </row>
    <row r="37" spans="1:14" x14ac:dyDescent="0.3">
      <c r="A37" s="346">
        <v>44287</v>
      </c>
      <c r="B37" s="347">
        <f t="shared" si="39"/>
        <v>522430850.19</v>
      </c>
      <c r="C37" s="347">
        <f t="shared" si="4"/>
        <v>0</v>
      </c>
      <c r="D37" s="347">
        <f t="shared" si="30"/>
        <v>522430850.19</v>
      </c>
      <c r="E37" s="347">
        <f t="shared" si="40"/>
        <v>2418661.34</v>
      </c>
      <c r="F37" s="348">
        <f t="shared" si="15"/>
        <v>20</v>
      </c>
      <c r="G37" s="349">
        <f t="shared" si="32"/>
        <v>483732.27</v>
      </c>
      <c r="H37" s="350">
        <f t="shared" si="33"/>
        <v>2902393.61</v>
      </c>
      <c r="I37" s="350">
        <f t="shared" ref="I37" si="43">SUM(H34:H36)</f>
        <v>8707180.8300000001</v>
      </c>
      <c r="J37" s="303">
        <f t="shared" si="35"/>
        <v>44306</v>
      </c>
      <c r="K37" s="350">
        <f t="shared" si="41"/>
        <v>522430850.19</v>
      </c>
      <c r="L37" s="350">
        <f t="shared" si="9"/>
        <v>0</v>
      </c>
      <c r="M37" s="350">
        <f t="shared" si="37"/>
        <v>522430850.19</v>
      </c>
      <c r="N37" s="350">
        <f t="shared" si="42"/>
        <v>84169414.689999998</v>
      </c>
    </row>
    <row r="38" spans="1:14" x14ac:dyDescent="0.3">
      <c r="A38" s="346">
        <v>44317</v>
      </c>
      <c r="B38" s="347">
        <f t="shared" si="39"/>
        <v>522430850.19</v>
      </c>
      <c r="C38" s="347">
        <f t="shared" si="4"/>
        <v>0</v>
      </c>
      <c r="D38" s="347">
        <f t="shared" si="30"/>
        <v>522430850.19</v>
      </c>
      <c r="E38" s="347">
        <f t="shared" si="40"/>
        <v>2418661.34</v>
      </c>
      <c r="F38" s="348">
        <f t="shared" si="15"/>
        <v>20</v>
      </c>
      <c r="G38" s="349">
        <f t="shared" si="32"/>
        <v>483732.27</v>
      </c>
      <c r="H38" s="350">
        <f t="shared" si="33"/>
        <v>2902393.61</v>
      </c>
      <c r="I38" s="350">
        <v>0</v>
      </c>
      <c r="J38" s="303" t="str">
        <f t="shared" si="35"/>
        <v>-</v>
      </c>
      <c r="K38" s="350">
        <f t="shared" si="41"/>
        <v>522430850.19</v>
      </c>
      <c r="L38" s="350">
        <f t="shared" si="9"/>
        <v>0</v>
      </c>
      <c r="M38" s="350">
        <f t="shared" si="37"/>
        <v>522430850.19</v>
      </c>
      <c r="N38" s="350">
        <f t="shared" si="42"/>
        <v>84169414.689999998</v>
      </c>
    </row>
    <row r="39" spans="1:14" x14ac:dyDescent="0.3">
      <c r="A39" s="346">
        <v>44348</v>
      </c>
      <c r="B39" s="347">
        <f t="shared" si="39"/>
        <v>522430850.19</v>
      </c>
      <c r="C39" s="347">
        <f t="shared" si="4"/>
        <v>0</v>
      </c>
      <c r="D39" s="347">
        <f t="shared" si="30"/>
        <v>522430850.19</v>
      </c>
      <c r="E39" s="347">
        <f t="shared" si="40"/>
        <v>2418661.34</v>
      </c>
      <c r="F39" s="348">
        <f t="shared" si="15"/>
        <v>20</v>
      </c>
      <c r="G39" s="349">
        <f t="shared" si="32"/>
        <v>483732.27</v>
      </c>
      <c r="H39" s="350">
        <f t="shared" si="33"/>
        <v>2902393.61</v>
      </c>
      <c r="I39" s="350">
        <v>0</v>
      </c>
      <c r="J39" s="303" t="str">
        <f t="shared" si="35"/>
        <v>-</v>
      </c>
      <c r="K39" s="350">
        <f t="shared" si="41"/>
        <v>522430850.19</v>
      </c>
      <c r="L39" s="350">
        <f t="shared" si="9"/>
        <v>0</v>
      </c>
      <c r="M39" s="350">
        <f t="shared" si="37"/>
        <v>522430850.19</v>
      </c>
      <c r="N39" s="350">
        <f t="shared" si="42"/>
        <v>84169414.689999998</v>
      </c>
    </row>
    <row r="40" spans="1:14" x14ac:dyDescent="0.3">
      <c r="A40" s="346">
        <v>44378</v>
      </c>
      <c r="B40" s="347">
        <f t="shared" si="39"/>
        <v>522430850.19</v>
      </c>
      <c r="C40" s="347">
        <f t="shared" si="4"/>
        <v>0</v>
      </c>
      <c r="D40" s="347">
        <f t="shared" si="30"/>
        <v>522430850.19</v>
      </c>
      <c r="E40" s="347">
        <f t="shared" si="40"/>
        <v>2418661.34</v>
      </c>
      <c r="F40" s="348">
        <f t="shared" si="15"/>
        <v>20</v>
      </c>
      <c r="G40" s="349">
        <f t="shared" si="32"/>
        <v>483732.27</v>
      </c>
      <c r="H40" s="350">
        <f t="shared" si="33"/>
        <v>2902393.61</v>
      </c>
      <c r="I40" s="350">
        <f t="shared" ref="I40" si="44">SUM(H37:H39)</f>
        <v>8707180.8300000001</v>
      </c>
      <c r="J40" s="303">
        <f t="shared" si="35"/>
        <v>44397</v>
      </c>
      <c r="K40" s="350">
        <f t="shared" si="41"/>
        <v>522430850.19</v>
      </c>
      <c r="L40" s="350">
        <f t="shared" si="9"/>
        <v>0</v>
      </c>
      <c r="M40" s="350">
        <f t="shared" si="37"/>
        <v>522430850.19</v>
      </c>
      <c r="N40" s="350">
        <f t="shared" si="42"/>
        <v>92876595.519999996</v>
      </c>
    </row>
    <row r="41" spans="1:14" x14ac:dyDescent="0.3">
      <c r="A41" s="346">
        <v>44409</v>
      </c>
      <c r="B41" s="347">
        <f t="shared" si="39"/>
        <v>522430850.19</v>
      </c>
      <c r="C41" s="347">
        <f t="shared" si="4"/>
        <v>0</v>
      </c>
      <c r="D41" s="347">
        <f t="shared" si="30"/>
        <v>522430850.19</v>
      </c>
      <c r="E41" s="347">
        <f t="shared" si="40"/>
        <v>2418661.34</v>
      </c>
      <c r="F41" s="348">
        <f t="shared" si="15"/>
        <v>20</v>
      </c>
      <c r="G41" s="349">
        <f t="shared" si="32"/>
        <v>483732.27</v>
      </c>
      <c r="H41" s="350">
        <f t="shared" si="33"/>
        <v>2902393.61</v>
      </c>
      <c r="I41" s="350">
        <v>0</v>
      </c>
      <c r="J41" s="303" t="str">
        <f t="shared" si="35"/>
        <v>-</v>
      </c>
      <c r="K41" s="350">
        <f t="shared" si="41"/>
        <v>522430850.19</v>
      </c>
      <c r="L41" s="350">
        <f t="shared" si="9"/>
        <v>0</v>
      </c>
      <c r="M41" s="350">
        <f t="shared" si="37"/>
        <v>522430850.19</v>
      </c>
      <c r="N41" s="350">
        <f t="shared" si="42"/>
        <v>92876595.519999996</v>
      </c>
    </row>
    <row r="42" spans="1:14" x14ac:dyDescent="0.3">
      <c r="A42" s="346">
        <v>44440</v>
      </c>
      <c r="B42" s="347">
        <f t="shared" si="39"/>
        <v>522430850.19</v>
      </c>
      <c r="C42" s="347">
        <f t="shared" si="4"/>
        <v>0</v>
      </c>
      <c r="D42" s="347">
        <f t="shared" si="30"/>
        <v>522430850.19</v>
      </c>
      <c r="E42" s="347">
        <f t="shared" si="40"/>
        <v>2418661.34</v>
      </c>
      <c r="F42" s="348">
        <f t="shared" si="15"/>
        <v>20</v>
      </c>
      <c r="G42" s="349">
        <f t="shared" si="32"/>
        <v>483732.27</v>
      </c>
      <c r="H42" s="350">
        <f t="shared" si="33"/>
        <v>2902393.61</v>
      </c>
      <c r="I42" s="350">
        <v>0</v>
      </c>
      <c r="J42" s="303" t="str">
        <f t="shared" si="35"/>
        <v>-</v>
      </c>
      <c r="K42" s="350">
        <f t="shared" si="41"/>
        <v>522430850.19</v>
      </c>
      <c r="L42" s="350">
        <f t="shared" si="9"/>
        <v>0</v>
      </c>
      <c r="M42" s="350">
        <f t="shared" si="37"/>
        <v>522430850.19</v>
      </c>
      <c r="N42" s="350">
        <f t="shared" si="42"/>
        <v>92876595.519999996</v>
      </c>
    </row>
    <row r="43" spans="1:14" x14ac:dyDescent="0.3">
      <c r="A43" s="346">
        <v>44470</v>
      </c>
      <c r="B43" s="347">
        <f t="shared" si="39"/>
        <v>522430850.19</v>
      </c>
      <c r="C43" s="347">
        <f t="shared" si="4"/>
        <v>0</v>
      </c>
      <c r="D43" s="347">
        <f t="shared" si="30"/>
        <v>522430850.19</v>
      </c>
      <c r="E43" s="347">
        <f t="shared" si="40"/>
        <v>2418661.34</v>
      </c>
      <c r="F43" s="348">
        <f t="shared" si="15"/>
        <v>20</v>
      </c>
      <c r="G43" s="349">
        <f t="shared" si="32"/>
        <v>483732.27</v>
      </c>
      <c r="H43" s="350">
        <f t="shared" si="33"/>
        <v>2902393.61</v>
      </c>
      <c r="I43" s="350">
        <f t="shared" ref="I43" si="45">SUM(H40:H42)</f>
        <v>8707180.8300000001</v>
      </c>
      <c r="J43" s="303">
        <f t="shared" si="35"/>
        <v>44489</v>
      </c>
      <c r="K43" s="350">
        <f t="shared" si="41"/>
        <v>522430850.19</v>
      </c>
      <c r="L43" s="350">
        <f t="shared" si="9"/>
        <v>0</v>
      </c>
      <c r="M43" s="350">
        <f t="shared" si="37"/>
        <v>522430850.19</v>
      </c>
      <c r="N43" s="350">
        <f t="shared" si="42"/>
        <v>101583776.34999999</v>
      </c>
    </row>
    <row r="44" spans="1:14" x14ac:dyDescent="0.3">
      <c r="A44" s="346">
        <v>44501</v>
      </c>
      <c r="B44" s="347">
        <f t="shared" si="39"/>
        <v>522430850.19</v>
      </c>
      <c r="C44" s="347">
        <f t="shared" si="4"/>
        <v>0</v>
      </c>
      <c r="D44" s="347">
        <f t="shared" si="30"/>
        <v>522430850.19</v>
      </c>
      <c r="E44" s="347">
        <f t="shared" si="40"/>
        <v>2418661.34</v>
      </c>
      <c r="F44" s="348">
        <f t="shared" si="15"/>
        <v>20</v>
      </c>
      <c r="G44" s="349">
        <f t="shared" si="32"/>
        <v>483732.27</v>
      </c>
      <c r="H44" s="350">
        <f t="shared" si="33"/>
        <v>2902393.61</v>
      </c>
      <c r="I44" s="350">
        <v>0</v>
      </c>
      <c r="J44" s="303" t="str">
        <f t="shared" si="35"/>
        <v>-</v>
      </c>
      <c r="K44" s="350">
        <f t="shared" si="41"/>
        <v>522430850.19</v>
      </c>
      <c r="L44" s="350">
        <f t="shared" si="9"/>
        <v>0</v>
      </c>
      <c r="M44" s="350">
        <f t="shared" si="37"/>
        <v>522430850.19</v>
      </c>
      <c r="N44" s="350">
        <f t="shared" si="42"/>
        <v>101583776.34999999</v>
      </c>
    </row>
    <row r="45" spans="1:14" ht="19.5" thickBot="1" x14ac:dyDescent="0.35">
      <c r="A45" s="335">
        <v>44531</v>
      </c>
      <c r="B45" s="336">
        <f t="shared" si="39"/>
        <v>522430850.19</v>
      </c>
      <c r="C45" s="336">
        <f t="shared" si="4"/>
        <v>0</v>
      </c>
      <c r="D45" s="336">
        <f t="shared" si="30"/>
        <v>522430850.19</v>
      </c>
      <c r="E45" s="336">
        <f t="shared" si="40"/>
        <v>2418661.34</v>
      </c>
      <c r="F45" s="337">
        <f t="shared" si="15"/>
        <v>20</v>
      </c>
      <c r="G45" s="338">
        <f t="shared" si="32"/>
        <v>483732.27</v>
      </c>
      <c r="H45" s="339">
        <f t="shared" si="33"/>
        <v>2902393.61</v>
      </c>
      <c r="I45" s="339">
        <v>0</v>
      </c>
      <c r="J45" s="290" t="str">
        <f t="shared" si="35"/>
        <v>-</v>
      </c>
      <c r="K45" s="339">
        <f t="shared" si="41"/>
        <v>522430850.19</v>
      </c>
      <c r="L45" s="339">
        <f t="shared" si="9"/>
        <v>0</v>
      </c>
      <c r="M45" s="339">
        <f t="shared" si="37"/>
        <v>522430850.19</v>
      </c>
      <c r="N45" s="339">
        <f t="shared" si="42"/>
        <v>101583776.34999999</v>
      </c>
    </row>
    <row r="46" spans="1:14" s="351" customFormat="1" ht="19.5" thickBot="1" x14ac:dyDescent="0.35">
      <c r="A46" s="340">
        <v>2021</v>
      </c>
      <c r="B46" s="341">
        <f t="shared" ref="B46" si="46">B34</f>
        <v>522430850.19</v>
      </c>
      <c r="C46" s="341">
        <f t="shared" si="4"/>
        <v>0</v>
      </c>
      <c r="D46" s="341">
        <f t="shared" si="30"/>
        <v>522430850.19</v>
      </c>
      <c r="E46" s="341">
        <f t="shared" ref="E46" si="47">SUM(E34:E45)</f>
        <v>29023936.079999998</v>
      </c>
      <c r="F46" s="342">
        <f t="shared" si="15"/>
        <v>20</v>
      </c>
      <c r="G46" s="343">
        <f t="shared" ref="G46:I46" si="48">SUM(G34:G45)</f>
        <v>5804787.2400000002</v>
      </c>
      <c r="H46" s="344">
        <f t="shared" si="48"/>
        <v>34828723.32</v>
      </c>
      <c r="I46" s="344">
        <f t="shared" si="48"/>
        <v>34828723.32</v>
      </c>
      <c r="J46" s="296"/>
      <c r="K46" s="344">
        <f t="shared" si="41"/>
        <v>522430850.19</v>
      </c>
      <c r="L46" s="344">
        <f t="shared" ref="L46" si="49">L45</f>
        <v>0</v>
      </c>
      <c r="M46" s="344">
        <f t="shared" ref="M46" si="50">M45</f>
        <v>522430850.19</v>
      </c>
      <c r="N46" s="344">
        <f t="shared" ref="N46" si="51">N45</f>
        <v>101583776.34999999</v>
      </c>
    </row>
    <row r="47" spans="1:14" x14ac:dyDescent="0.3">
      <c r="A47" s="330">
        <v>44562</v>
      </c>
      <c r="B47" s="331">
        <f t="shared" ref="B47" si="52">B45</f>
        <v>522430850.19</v>
      </c>
      <c r="C47" s="331">
        <f t="shared" si="4"/>
        <v>0</v>
      </c>
      <c r="D47" s="331">
        <f t="shared" si="30"/>
        <v>522430850.19</v>
      </c>
      <c r="E47" s="331">
        <f t="shared" ref="E47" si="53">E34</f>
        <v>2418661.34</v>
      </c>
      <c r="F47" s="332">
        <f t="shared" si="15"/>
        <v>20</v>
      </c>
      <c r="G47" s="333">
        <f t="shared" ref="G47:G58" si="54">E47*F47/100</f>
        <v>483732.27</v>
      </c>
      <c r="H47" s="334">
        <f t="shared" ref="H47:H58" si="55">G47+E47</f>
        <v>2902393.61</v>
      </c>
      <c r="I47" s="334">
        <f t="shared" ref="I47" si="56">SUM(H43:H45)</f>
        <v>8707180.8300000001</v>
      </c>
      <c r="J47" s="284">
        <f t="shared" ref="J47:J58" si="57">IF(I47=0,"-",A47+19)</f>
        <v>44581</v>
      </c>
      <c r="K47" s="334">
        <f t="shared" ref="K47" si="58">K45</f>
        <v>522430850.19</v>
      </c>
      <c r="L47" s="334">
        <f t="shared" si="9"/>
        <v>0</v>
      </c>
      <c r="M47" s="334">
        <f t="shared" ref="M47:M58" si="59">K47</f>
        <v>522430850.19</v>
      </c>
      <c r="N47" s="334">
        <f t="shared" ref="N47" si="60">N45+I47</f>
        <v>110290957.18000001</v>
      </c>
    </row>
    <row r="48" spans="1:14" x14ac:dyDescent="0.3">
      <c r="A48" s="346">
        <v>44593</v>
      </c>
      <c r="B48" s="347">
        <f t="shared" ref="B48:B58" si="61">B47</f>
        <v>522430850.19</v>
      </c>
      <c r="C48" s="347">
        <f t="shared" si="4"/>
        <v>0</v>
      </c>
      <c r="D48" s="347">
        <f t="shared" si="30"/>
        <v>522430850.19</v>
      </c>
      <c r="E48" s="347">
        <f t="shared" ref="E48:E58" si="62">E47</f>
        <v>2418661.34</v>
      </c>
      <c r="F48" s="348">
        <f t="shared" si="15"/>
        <v>20</v>
      </c>
      <c r="G48" s="349">
        <f t="shared" si="54"/>
        <v>483732.27</v>
      </c>
      <c r="H48" s="350">
        <f t="shared" si="55"/>
        <v>2902393.61</v>
      </c>
      <c r="I48" s="350">
        <v>0</v>
      </c>
      <c r="J48" s="303" t="str">
        <f t="shared" si="57"/>
        <v>-</v>
      </c>
      <c r="K48" s="350">
        <f t="shared" ref="K48:K59" si="63">K47</f>
        <v>522430850.19</v>
      </c>
      <c r="L48" s="350">
        <f t="shared" si="9"/>
        <v>0</v>
      </c>
      <c r="M48" s="350">
        <f t="shared" si="59"/>
        <v>522430850.19</v>
      </c>
      <c r="N48" s="350">
        <f t="shared" ref="N48" si="64">N47+I48</f>
        <v>110290957.18000001</v>
      </c>
    </row>
    <row r="49" spans="1:14" x14ac:dyDescent="0.3">
      <c r="A49" s="346">
        <v>44621</v>
      </c>
      <c r="B49" s="347">
        <f t="shared" si="61"/>
        <v>522430850.19</v>
      </c>
      <c r="C49" s="347">
        <f t="shared" si="4"/>
        <v>0</v>
      </c>
      <c r="D49" s="347">
        <f t="shared" si="30"/>
        <v>522430850.19</v>
      </c>
      <c r="E49" s="347">
        <f t="shared" si="62"/>
        <v>2418661.34</v>
      </c>
      <c r="F49" s="348">
        <f t="shared" si="15"/>
        <v>20</v>
      </c>
      <c r="G49" s="349">
        <f t="shared" si="54"/>
        <v>483732.27</v>
      </c>
      <c r="H49" s="350">
        <f t="shared" si="55"/>
        <v>2902393.61</v>
      </c>
      <c r="I49" s="350">
        <v>0</v>
      </c>
      <c r="J49" s="303" t="str">
        <f t="shared" si="57"/>
        <v>-</v>
      </c>
      <c r="K49" s="350">
        <f t="shared" si="63"/>
        <v>522430850.19</v>
      </c>
      <c r="L49" s="350">
        <f t="shared" si="9"/>
        <v>0</v>
      </c>
      <c r="M49" s="350">
        <f t="shared" si="59"/>
        <v>522430850.19</v>
      </c>
      <c r="N49" s="350">
        <f t="shared" si="42"/>
        <v>110290957.18000001</v>
      </c>
    </row>
    <row r="50" spans="1:14" x14ac:dyDescent="0.3">
      <c r="A50" s="346">
        <v>44652</v>
      </c>
      <c r="B50" s="347">
        <f t="shared" si="61"/>
        <v>522430850.19</v>
      </c>
      <c r="C50" s="347">
        <f t="shared" si="4"/>
        <v>0</v>
      </c>
      <c r="D50" s="347">
        <f t="shared" si="30"/>
        <v>522430850.19</v>
      </c>
      <c r="E50" s="347">
        <f t="shared" si="62"/>
        <v>2418661.34</v>
      </c>
      <c r="F50" s="348">
        <f t="shared" si="15"/>
        <v>20</v>
      </c>
      <c r="G50" s="349">
        <f t="shared" si="54"/>
        <v>483732.27</v>
      </c>
      <c r="H50" s="350">
        <f t="shared" si="55"/>
        <v>2902393.61</v>
      </c>
      <c r="I50" s="350">
        <f t="shared" ref="I50" si="65">SUM(H47:H49)</f>
        <v>8707180.8300000001</v>
      </c>
      <c r="J50" s="303">
        <f t="shared" si="57"/>
        <v>44671</v>
      </c>
      <c r="K50" s="350">
        <f t="shared" si="63"/>
        <v>522430850.19</v>
      </c>
      <c r="L50" s="350">
        <f t="shared" si="9"/>
        <v>0</v>
      </c>
      <c r="M50" s="350">
        <f t="shared" si="59"/>
        <v>522430850.19</v>
      </c>
      <c r="N50" s="350">
        <f t="shared" si="42"/>
        <v>118998138.01000001</v>
      </c>
    </row>
    <row r="51" spans="1:14" x14ac:dyDescent="0.3">
      <c r="A51" s="346">
        <v>44682</v>
      </c>
      <c r="B51" s="347">
        <f t="shared" si="61"/>
        <v>522430850.19</v>
      </c>
      <c r="C51" s="347">
        <f t="shared" si="4"/>
        <v>0</v>
      </c>
      <c r="D51" s="347">
        <f t="shared" si="30"/>
        <v>522430850.19</v>
      </c>
      <c r="E51" s="347">
        <f t="shared" si="62"/>
        <v>2418661.34</v>
      </c>
      <c r="F51" s="348">
        <f t="shared" si="15"/>
        <v>20</v>
      </c>
      <c r="G51" s="349">
        <f t="shared" si="54"/>
        <v>483732.27</v>
      </c>
      <c r="H51" s="350">
        <f t="shared" si="55"/>
        <v>2902393.61</v>
      </c>
      <c r="I51" s="350">
        <v>0</v>
      </c>
      <c r="J51" s="303" t="str">
        <f t="shared" si="57"/>
        <v>-</v>
      </c>
      <c r="K51" s="350">
        <f t="shared" si="63"/>
        <v>522430850.19</v>
      </c>
      <c r="L51" s="350">
        <f t="shared" si="9"/>
        <v>0</v>
      </c>
      <c r="M51" s="350">
        <f t="shared" si="59"/>
        <v>522430850.19</v>
      </c>
      <c r="N51" s="350">
        <f t="shared" si="42"/>
        <v>118998138.01000001</v>
      </c>
    </row>
    <row r="52" spans="1:14" x14ac:dyDescent="0.3">
      <c r="A52" s="346">
        <v>44713</v>
      </c>
      <c r="B52" s="347">
        <f t="shared" si="61"/>
        <v>522430850.19</v>
      </c>
      <c r="C52" s="347">
        <f t="shared" si="4"/>
        <v>0</v>
      </c>
      <c r="D52" s="347">
        <f t="shared" si="30"/>
        <v>522430850.19</v>
      </c>
      <c r="E52" s="347">
        <f t="shared" si="62"/>
        <v>2418661.34</v>
      </c>
      <c r="F52" s="348">
        <f t="shared" si="15"/>
        <v>20</v>
      </c>
      <c r="G52" s="349">
        <f t="shared" si="54"/>
        <v>483732.27</v>
      </c>
      <c r="H52" s="350">
        <f t="shared" si="55"/>
        <v>2902393.61</v>
      </c>
      <c r="I52" s="350">
        <v>0</v>
      </c>
      <c r="J52" s="303" t="str">
        <f t="shared" si="57"/>
        <v>-</v>
      </c>
      <c r="K52" s="350">
        <f t="shared" si="63"/>
        <v>522430850.19</v>
      </c>
      <c r="L52" s="350">
        <f t="shared" si="9"/>
        <v>0</v>
      </c>
      <c r="M52" s="350">
        <f t="shared" si="59"/>
        <v>522430850.19</v>
      </c>
      <c r="N52" s="350">
        <f t="shared" si="42"/>
        <v>118998138.01000001</v>
      </c>
    </row>
    <row r="53" spans="1:14" x14ac:dyDescent="0.3">
      <c r="A53" s="346">
        <v>44743</v>
      </c>
      <c r="B53" s="347">
        <f t="shared" si="61"/>
        <v>522430850.19</v>
      </c>
      <c r="C53" s="347">
        <f t="shared" si="4"/>
        <v>0</v>
      </c>
      <c r="D53" s="347">
        <f t="shared" si="30"/>
        <v>522430850.19</v>
      </c>
      <c r="E53" s="347">
        <f t="shared" si="62"/>
        <v>2418661.34</v>
      </c>
      <c r="F53" s="348">
        <f t="shared" si="15"/>
        <v>20</v>
      </c>
      <c r="G53" s="349">
        <f t="shared" si="54"/>
        <v>483732.27</v>
      </c>
      <c r="H53" s="350">
        <f t="shared" si="55"/>
        <v>2902393.61</v>
      </c>
      <c r="I53" s="350">
        <f t="shared" ref="I53" si="66">SUM(H50:H52)</f>
        <v>8707180.8300000001</v>
      </c>
      <c r="J53" s="303">
        <f t="shared" si="57"/>
        <v>44762</v>
      </c>
      <c r="K53" s="350">
        <f t="shared" si="63"/>
        <v>522430850.19</v>
      </c>
      <c r="L53" s="350">
        <f t="shared" si="9"/>
        <v>0</v>
      </c>
      <c r="M53" s="350">
        <f t="shared" si="59"/>
        <v>522430850.19</v>
      </c>
      <c r="N53" s="350">
        <f t="shared" si="42"/>
        <v>127705318.84</v>
      </c>
    </row>
    <row r="54" spans="1:14" x14ac:dyDescent="0.3">
      <c r="A54" s="346">
        <v>44774</v>
      </c>
      <c r="B54" s="347">
        <f t="shared" si="61"/>
        <v>522430850.19</v>
      </c>
      <c r="C54" s="347">
        <f t="shared" si="4"/>
        <v>0</v>
      </c>
      <c r="D54" s="347">
        <f t="shared" si="30"/>
        <v>522430850.19</v>
      </c>
      <c r="E54" s="347">
        <f t="shared" si="62"/>
        <v>2418661.34</v>
      </c>
      <c r="F54" s="348">
        <f t="shared" si="15"/>
        <v>20</v>
      </c>
      <c r="G54" s="349">
        <f t="shared" si="54"/>
        <v>483732.27</v>
      </c>
      <c r="H54" s="350">
        <f t="shared" si="55"/>
        <v>2902393.61</v>
      </c>
      <c r="I54" s="350">
        <v>0</v>
      </c>
      <c r="J54" s="303" t="str">
        <f t="shared" si="57"/>
        <v>-</v>
      </c>
      <c r="K54" s="350">
        <f t="shared" si="63"/>
        <v>522430850.19</v>
      </c>
      <c r="L54" s="350">
        <f t="shared" si="9"/>
        <v>0</v>
      </c>
      <c r="M54" s="350">
        <f t="shared" si="59"/>
        <v>522430850.19</v>
      </c>
      <c r="N54" s="350">
        <f t="shared" si="42"/>
        <v>127705318.84</v>
      </c>
    </row>
    <row r="55" spans="1:14" x14ac:dyDescent="0.3">
      <c r="A55" s="346">
        <v>44805</v>
      </c>
      <c r="B55" s="347">
        <f t="shared" si="61"/>
        <v>522430850.19</v>
      </c>
      <c r="C55" s="347">
        <f t="shared" si="4"/>
        <v>0</v>
      </c>
      <c r="D55" s="347">
        <f t="shared" si="30"/>
        <v>522430850.19</v>
      </c>
      <c r="E55" s="347">
        <f t="shared" si="62"/>
        <v>2418661.34</v>
      </c>
      <c r="F55" s="348">
        <f t="shared" si="15"/>
        <v>20</v>
      </c>
      <c r="G55" s="349">
        <f t="shared" si="54"/>
        <v>483732.27</v>
      </c>
      <c r="H55" s="350">
        <f t="shared" si="55"/>
        <v>2902393.61</v>
      </c>
      <c r="I55" s="350">
        <v>0</v>
      </c>
      <c r="J55" s="303" t="str">
        <f t="shared" si="57"/>
        <v>-</v>
      </c>
      <c r="K55" s="350">
        <f t="shared" si="63"/>
        <v>522430850.19</v>
      </c>
      <c r="L55" s="350">
        <f t="shared" si="9"/>
        <v>0</v>
      </c>
      <c r="M55" s="350">
        <f t="shared" si="59"/>
        <v>522430850.19</v>
      </c>
      <c r="N55" s="350">
        <f t="shared" si="42"/>
        <v>127705318.84</v>
      </c>
    </row>
    <row r="56" spans="1:14" x14ac:dyDescent="0.3">
      <c r="A56" s="346">
        <v>44835</v>
      </c>
      <c r="B56" s="347">
        <f t="shared" si="61"/>
        <v>522430850.19</v>
      </c>
      <c r="C56" s="347">
        <f t="shared" si="4"/>
        <v>0</v>
      </c>
      <c r="D56" s="347">
        <f t="shared" si="30"/>
        <v>522430850.19</v>
      </c>
      <c r="E56" s="347">
        <f t="shared" si="62"/>
        <v>2418661.34</v>
      </c>
      <c r="F56" s="348">
        <f t="shared" si="15"/>
        <v>20</v>
      </c>
      <c r="G56" s="349">
        <f t="shared" si="54"/>
        <v>483732.27</v>
      </c>
      <c r="H56" s="350">
        <f t="shared" si="55"/>
        <v>2902393.61</v>
      </c>
      <c r="I56" s="350">
        <f t="shared" ref="I56" si="67">SUM(H53:H55)</f>
        <v>8707180.8300000001</v>
      </c>
      <c r="J56" s="303">
        <f t="shared" si="57"/>
        <v>44854</v>
      </c>
      <c r="K56" s="350">
        <f t="shared" si="63"/>
        <v>522430850.19</v>
      </c>
      <c r="L56" s="350">
        <f t="shared" si="9"/>
        <v>0</v>
      </c>
      <c r="M56" s="350">
        <f t="shared" si="59"/>
        <v>522430850.19</v>
      </c>
      <c r="N56" s="350">
        <f t="shared" si="42"/>
        <v>136412499.66999999</v>
      </c>
    </row>
    <row r="57" spans="1:14" x14ac:dyDescent="0.3">
      <c r="A57" s="346">
        <v>44866</v>
      </c>
      <c r="B57" s="347">
        <f t="shared" si="61"/>
        <v>522430850.19</v>
      </c>
      <c r="C57" s="347">
        <f t="shared" si="4"/>
        <v>0</v>
      </c>
      <c r="D57" s="347">
        <f t="shared" si="30"/>
        <v>522430850.19</v>
      </c>
      <c r="E57" s="347">
        <f t="shared" si="62"/>
        <v>2418661.34</v>
      </c>
      <c r="F57" s="348">
        <f t="shared" si="15"/>
        <v>20</v>
      </c>
      <c r="G57" s="349">
        <f t="shared" si="54"/>
        <v>483732.27</v>
      </c>
      <c r="H57" s="350">
        <f t="shared" si="55"/>
        <v>2902393.61</v>
      </c>
      <c r="I57" s="350">
        <v>0</v>
      </c>
      <c r="J57" s="303" t="str">
        <f t="shared" si="57"/>
        <v>-</v>
      </c>
      <c r="K57" s="350">
        <f t="shared" si="63"/>
        <v>522430850.19</v>
      </c>
      <c r="L57" s="350">
        <f t="shared" si="9"/>
        <v>0</v>
      </c>
      <c r="M57" s="350">
        <f t="shared" si="59"/>
        <v>522430850.19</v>
      </c>
      <c r="N57" s="350">
        <f t="shared" si="42"/>
        <v>136412499.66999999</v>
      </c>
    </row>
    <row r="58" spans="1:14" ht="19.5" thickBot="1" x14ac:dyDescent="0.35">
      <c r="A58" s="335">
        <v>44896</v>
      </c>
      <c r="B58" s="336">
        <f t="shared" si="61"/>
        <v>522430850.19</v>
      </c>
      <c r="C58" s="336">
        <f t="shared" si="4"/>
        <v>0</v>
      </c>
      <c r="D58" s="336">
        <f t="shared" si="30"/>
        <v>522430850.19</v>
      </c>
      <c r="E58" s="336">
        <f t="shared" si="62"/>
        <v>2418661.34</v>
      </c>
      <c r="F58" s="337">
        <f t="shared" si="15"/>
        <v>20</v>
      </c>
      <c r="G58" s="338">
        <f t="shared" si="54"/>
        <v>483732.27</v>
      </c>
      <c r="H58" s="339">
        <f t="shared" si="55"/>
        <v>2902393.61</v>
      </c>
      <c r="I58" s="339">
        <v>0</v>
      </c>
      <c r="J58" s="290" t="str">
        <f t="shared" si="57"/>
        <v>-</v>
      </c>
      <c r="K58" s="339">
        <f t="shared" si="63"/>
        <v>522430850.19</v>
      </c>
      <c r="L58" s="339">
        <f t="shared" si="9"/>
        <v>0</v>
      </c>
      <c r="M58" s="339">
        <f t="shared" si="59"/>
        <v>522430850.19</v>
      </c>
      <c r="N58" s="339">
        <f t="shared" si="42"/>
        <v>136412499.66999999</v>
      </c>
    </row>
    <row r="59" spans="1:14" s="351" customFormat="1" ht="19.5" thickBot="1" x14ac:dyDescent="0.35">
      <c r="A59" s="340">
        <v>2022</v>
      </c>
      <c r="B59" s="341">
        <f t="shared" ref="B59" si="68">B47</f>
        <v>522430850.19</v>
      </c>
      <c r="C59" s="341">
        <f t="shared" si="4"/>
        <v>0</v>
      </c>
      <c r="D59" s="341">
        <f t="shared" si="30"/>
        <v>522430850.19</v>
      </c>
      <c r="E59" s="341">
        <f t="shared" ref="E59" si="69">SUM(E47:E58)</f>
        <v>29023936.079999998</v>
      </c>
      <c r="F59" s="342">
        <f t="shared" si="15"/>
        <v>20</v>
      </c>
      <c r="G59" s="343">
        <f t="shared" ref="G59:I59" si="70">SUM(G47:G58)</f>
        <v>5804787.2400000002</v>
      </c>
      <c r="H59" s="344">
        <f t="shared" si="70"/>
        <v>34828723.32</v>
      </c>
      <c r="I59" s="344">
        <f t="shared" si="70"/>
        <v>34828723.32</v>
      </c>
      <c r="J59" s="296"/>
      <c r="K59" s="344">
        <f t="shared" si="63"/>
        <v>522430850.19</v>
      </c>
      <c r="L59" s="344">
        <f t="shared" ref="L59" si="71">L58</f>
        <v>0</v>
      </c>
      <c r="M59" s="344">
        <f t="shared" ref="M59" si="72">M58</f>
        <v>522430850.19</v>
      </c>
      <c r="N59" s="344">
        <f t="shared" ref="N59" si="73">N58</f>
        <v>136412499.66999999</v>
      </c>
    </row>
    <row r="60" spans="1:14" x14ac:dyDescent="0.3">
      <c r="A60" s="330">
        <v>44927</v>
      </c>
      <c r="B60" s="331">
        <f t="shared" ref="B60" si="74">B58</f>
        <v>522430850.19</v>
      </c>
      <c r="C60" s="331">
        <f t="shared" si="4"/>
        <v>0</v>
      </c>
      <c r="D60" s="331">
        <f t="shared" si="30"/>
        <v>522430850.19</v>
      </c>
      <c r="E60" s="331">
        <f t="shared" ref="E60" si="75">E47</f>
        <v>2418661.34</v>
      </c>
      <c r="F60" s="332">
        <f t="shared" si="15"/>
        <v>20</v>
      </c>
      <c r="G60" s="333">
        <f t="shared" ref="G60:G71" si="76">E60*F60/100</f>
        <v>483732.27</v>
      </c>
      <c r="H60" s="334">
        <f t="shared" ref="H60:H71" si="77">G60+E60</f>
        <v>2902393.61</v>
      </c>
      <c r="I60" s="334">
        <f t="shared" ref="I60" si="78">SUM(H56:H58)</f>
        <v>8707180.8300000001</v>
      </c>
      <c r="J60" s="284">
        <f t="shared" ref="J60:J71" si="79">IF(I60=0,"-",A60+19)</f>
        <v>44946</v>
      </c>
      <c r="K60" s="334">
        <f t="shared" ref="K60" si="80">K58</f>
        <v>522430850.19</v>
      </c>
      <c r="L60" s="334">
        <f t="shared" si="9"/>
        <v>0</v>
      </c>
      <c r="M60" s="334">
        <f t="shared" ref="M60:M71" si="81">K60</f>
        <v>522430850.19</v>
      </c>
      <c r="N60" s="334">
        <f t="shared" ref="N60" si="82">N58+I60</f>
        <v>145119680.5</v>
      </c>
    </row>
    <row r="61" spans="1:14" x14ac:dyDescent="0.3">
      <c r="A61" s="346">
        <v>44958</v>
      </c>
      <c r="B61" s="347">
        <f t="shared" ref="B61:B71" si="83">B60</f>
        <v>522430850.19</v>
      </c>
      <c r="C61" s="347">
        <f t="shared" si="4"/>
        <v>0</v>
      </c>
      <c r="D61" s="347">
        <f t="shared" si="30"/>
        <v>522430850.19</v>
      </c>
      <c r="E61" s="347">
        <f t="shared" ref="E61:E71" si="84">E60</f>
        <v>2418661.34</v>
      </c>
      <c r="F61" s="348">
        <f t="shared" si="15"/>
        <v>20</v>
      </c>
      <c r="G61" s="349">
        <f t="shared" si="76"/>
        <v>483732.27</v>
      </c>
      <c r="H61" s="350">
        <f t="shared" si="77"/>
        <v>2902393.61</v>
      </c>
      <c r="I61" s="350">
        <v>0</v>
      </c>
      <c r="J61" s="303" t="str">
        <f t="shared" si="79"/>
        <v>-</v>
      </c>
      <c r="K61" s="350">
        <f t="shared" ref="K61:K72" si="85">K60</f>
        <v>522430850.19</v>
      </c>
      <c r="L61" s="350">
        <f t="shared" si="9"/>
        <v>0</v>
      </c>
      <c r="M61" s="350">
        <f t="shared" si="81"/>
        <v>522430850.19</v>
      </c>
      <c r="N61" s="350">
        <f t="shared" ref="N61" si="86">N60+I61</f>
        <v>145119680.5</v>
      </c>
    </row>
    <row r="62" spans="1:14" x14ac:dyDescent="0.3">
      <c r="A62" s="346">
        <v>44986</v>
      </c>
      <c r="B62" s="347">
        <f t="shared" si="83"/>
        <v>522430850.19</v>
      </c>
      <c r="C62" s="347">
        <f t="shared" si="4"/>
        <v>0</v>
      </c>
      <c r="D62" s="347">
        <f t="shared" si="30"/>
        <v>522430850.19</v>
      </c>
      <c r="E62" s="347">
        <f t="shared" si="84"/>
        <v>2418661.34</v>
      </c>
      <c r="F62" s="348">
        <f t="shared" si="15"/>
        <v>20</v>
      </c>
      <c r="G62" s="349">
        <f t="shared" si="76"/>
        <v>483732.27</v>
      </c>
      <c r="H62" s="350">
        <f t="shared" si="77"/>
        <v>2902393.61</v>
      </c>
      <c r="I62" s="350">
        <v>0</v>
      </c>
      <c r="J62" s="303" t="str">
        <f t="shared" si="79"/>
        <v>-</v>
      </c>
      <c r="K62" s="350">
        <f t="shared" si="85"/>
        <v>522430850.19</v>
      </c>
      <c r="L62" s="350">
        <f t="shared" si="9"/>
        <v>0</v>
      </c>
      <c r="M62" s="350">
        <f t="shared" si="81"/>
        <v>522430850.19</v>
      </c>
      <c r="N62" s="350">
        <f t="shared" si="42"/>
        <v>145119680.5</v>
      </c>
    </row>
    <row r="63" spans="1:14" x14ac:dyDescent="0.3">
      <c r="A63" s="346">
        <v>45017</v>
      </c>
      <c r="B63" s="347">
        <f t="shared" si="83"/>
        <v>522430850.19</v>
      </c>
      <c r="C63" s="347">
        <f t="shared" si="4"/>
        <v>0</v>
      </c>
      <c r="D63" s="347">
        <f t="shared" si="30"/>
        <v>522430850.19</v>
      </c>
      <c r="E63" s="347">
        <f t="shared" si="84"/>
        <v>2418661.34</v>
      </c>
      <c r="F63" s="348">
        <f t="shared" si="15"/>
        <v>20</v>
      </c>
      <c r="G63" s="349">
        <f t="shared" si="76"/>
        <v>483732.27</v>
      </c>
      <c r="H63" s="350">
        <f t="shared" si="77"/>
        <v>2902393.61</v>
      </c>
      <c r="I63" s="350">
        <f t="shared" ref="I63" si="87">SUM(H60:H62)</f>
        <v>8707180.8300000001</v>
      </c>
      <c r="J63" s="303">
        <f t="shared" si="79"/>
        <v>45036</v>
      </c>
      <c r="K63" s="350">
        <f t="shared" si="85"/>
        <v>522430850.19</v>
      </c>
      <c r="L63" s="350">
        <f t="shared" si="9"/>
        <v>0</v>
      </c>
      <c r="M63" s="350">
        <f t="shared" si="81"/>
        <v>522430850.19</v>
      </c>
      <c r="N63" s="350">
        <f t="shared" si="42"/>
        <v>153826861.33000001</v>
      </c>
    </row>
    <row r="64" spans="1:14" x14ac:dyDescent="0.3">
      <c r="A64" s="346">
        <v>45047</v>
      </c>
      <c r="B64" s="347">
        <f t="shared" si="83"/>
        <v>522430850.19</v>
      </c>
      <c r="C64" s="347">
        <f t="shared" si="4"/>
        <v>0</v>
      </c>
      <c r="D64" s="347">
        <f t="shared" si="30"/>
        <v>522430850.19</v>
      </c>
      <c r="E64" s="347">
        <f t="shared" si="84"/>
        <v>2418661.34</v>
      </c>
      <c r="F64" s="348">
        <f t="shared" si="15"/>
        <v>20</v>
      </c>
      <c r="G64" s="349">
        <f t="shared" si="76"/>
        <v>483732.27</v>
      </c>
      <c r="H64" s="350">
        <f t="shared" si="77"/>
        <v>2902393.61</v>
      </c>
      <c r="I64" s="350">
        <v>0</v>
      </c>
      <c r="J64" s="303" t="str">
        <f t="shared" si="79"/>
        <v>-</v>
      </c>
      <c r="K64" s="350">
        <f t="shared" si="85"/>
        <v>522430850.19</v>
      </c>
      <c r="L64" s="350">
        <f t="shared" si="9"/>
        <v>0</v>
      </c>
      <c r="M64" s="350">
        <f t="shared" si="81"/>
        <v>522430850.19</v>
      </c>
      <c r="N64" s="350">
        <f t="shared" si="42"/>
        <v>153826861.33000001</v>
      </c>
    </row>
    <row r="65" spans="1:14" x14ac:dyDescent="0.3">
      <c r="A65" s="346">
        <v>45078</v>
      </c>
      <c r="B65" s="347">
        <f t="shared" si="83"/>
        <v>522430850.19</v>
      </c>
      <c r="C65" s="347">
        <f t="shared" si="4"/>
        <v>0</v>
      </c>
      <c r="D65" s="347">
        <f t="shared" si="30"/>
        <v>522430850.19</v>
      </c>
      <c r="E65" s="347">
        <f t="shared" si="84"/>
        <v>2418661.34</v>
      </c>
      <c r="F65" s="348">
        <f t="shared" si="15"/>
        <v>20</v>
      </c>
      <c r="G65" s="349">
        <f t="shared" si="76"/>
        <v>483732.27</v>
      </c>
      <c r="H65" s="350">
        <f t="shared" si="77"/>
        <v>2902393.61</v>
      </c>
      <c r="I65" s="350">
        <v>0</v>
      </c>
      <c r="J65" s="303" t="str">
        <f t="shared" si="79"/>
        <v>-</v>
      </c>
      <c r="K65" s="350">
        <f t="shared" si="85"/>
        <v>522430850.19</v>
      </c>
      <c r="L65" s="350">
        <f t="shared" si="9"/>
        <v>0</v>
      </c>
      <c r="M65" s="350">
        <f t="shared" si="81"/>
        <v>522430850.19</v>
      </c>
      <c r="N65" s="350">
        <f t="shared" si="42"/>
        <v>153826861.33000001</v>
      </c>
    </row>
    <row r="66" spans="1:14" x14ac:dyDescent="0.3">
      <c r="A66" s="346">
        <v>45108</v>
      </c>
      <c r="B66" s="347">
        <f t="shared" si="83"/>
        <v>522430850.19</v>
      </c>
      <c r="C66" s="347">
        <f t="shared" si="4"/>
        <v>0</v>
      </c>
      <c r="D66" s="347">
        <f t="shared" si="30"/>
        <v>522430850.19</v>
      </c>
      <c r="E66" s="347">
        <f t="shared" si="84"/>
        <v>2418661.34</v>
      </c>
      <c r="F66" s="348">
        <f t="shared" si="15"/>
        <v>20</v>
      </c>
      <c r="G66" s="349">
        <f t="shared" si="76"/>
        <v>483732.27</v>
      </c>
      <c r="H66" s="350">
        <f t="shared" si="77"/>
        <v>2902393.61</v>
      </c>
      <c r="I66" s="350">
        <f t="shared" ref="I66" si="88">SUM(H63:H65)</f>
        <v>8707180.8300000001</v>
      </c>
      <c r="J66" s="303">
        <f t="shared" si="79"/>
        <v>45127</v>
      </c>
      <c r="K66" s="350">
        <f t="shared" si="85"/>
        <v>522430850.19</v>
      </c>
      <c r="L66" s="350">
        <f t="shared" si="9"/>
        <v>0</v>
      </c>
      <c r="M66" s="350">
        <f t="shared" si="81"/>
        <v>522430850.19</v>
      </c>
      <c r="N66" s="350">
        <f t="shared" si="42"/>
        <v>162534042.16</v>
      </c>
    </row>
    <row r="67" spans="1:14" x14ac:dyDescent="0.3">
      <c r="A67" s="346">
        <v>45139</v>
      </c>
      <c r="B67" s="347">
        <f t="shared" si="83"/>
        <v>522430850.19</v>
      </c>
      <c r="C67" s="347">
        <f t="shared" si="4"/>
        <v>0</v>
      </c>
      <c r="D67" s="347">
        <f t="shared" si="30"/>
        <v>522430850.19</v>
      </c>
      <c r="E67" s="347">
        <f t="shared" si="84"/>
        <v>2418661.34</v>
      </c>
      <c r="F67" s="348">
        <f t="shared" si="15"/>
        <v>20</v>
      </c>
      <c r="G67" s="349">
        <f t="shared" si="76"/>
        <v>483732.27</v>
      </c>
      <c r="H67" s="350">
        <f t="shared" si="77"/>
        <v>2902393.61</v>
      </c>
      <c r="I67" s="350">
        <v>0</v>
      </c>
      <c r="J67" s="303" t="str">
        <f t="shared" si="79"/>
        <v>-</v>
      </c>
      <c r="K67" s="350">
        <f t="shared" si="85"/>
        <v>522430850.19</v>
      </c>
      <c r="L67" s="350">
        <f t="shared" si="9"/>
        <v>0</v>
      </c>
      <c r="M67" s="350">
        <f t="shared" si="81"/>
        <v>522430850.19</v>
      </c>
      <c r="N67" s="350">
        <f t="shared" si="42"/>
        <v>162534042.16</v>
      </c>
    </row>
    <row r="68" spans="1:14" x14ac:dyDescent="0.3">
      <c r="A68" s="346">
        <v>45170</v>
      </c>
      <c r="B68" s="347">
        <f t="shared" si="83"/>
        <v>522430850.19</v>
      </c>
      <c r="C68" s="347">
        <f t="shared" si="4"/>
        <v>0</v>
      </c>
      <c r="D68" s="347">
        <f t="shared" si="30"/>
        <v>522430850.19</v>
      </c>
      <c r="E68" s="347">
        <f t="shared" si="84"/>
        <v>2418661.34</v>
      </c>
      <c r="F68" s="348">
        <f t="shared" si="15"/>
        <v>20</v>
      </c>
      <c r="G68" s="349">
        <f t="shared" si="76"/>
        <v>483732.27</v>
      </c>
      <c r="H68" s="350">
        <f t="shared" si="77"/>
        <v>2902393.61</v>
      </c>
      <c r="I68" s="350">
        <v>0</v>
      </c>
      <c r="J68" s="303" t="str">
        <f t="shared" si="79"/>
        <v>-</v>
      </c>
      <c r="K68" s="350">
        <f t="shared" si="85"/>
        <v>522430850.19</v>
      </c>
      <c r="L68" s="350">
        <f t="shared" si="9"/>
        <v>0</v>
      </c>
      <c r="M68" s="350">
        <f t="shared" si="81"/>
        <v>522430850.19</v>
      </c>
      <c r="N68" s="350">
        <f t="shared" si="42"/>
        <v>162534042.16</v>
      </c>
    </row>
    <row r="69" spans="1:14" x14ac:dyDescent="0.3">
      <c r="A69" s="346">
        <v>45200</v>
      </c>
      <c r="B69" s="347">
        <f t="shared" si="83"/>
        <v>522430850.19</v>
      </c>
      <c r="C69" s="347">
        <f t="shared" si="4"/>
        <v>0</v>
      </c>
      <c r="D69" s="347">
        <f t="shared" si="30"/>
        <v>522430850.19</v>
      </c>
      <c r="E69" s="347">
        <f t="shared" si="84"/>
        <v>2418661.34</v>
      </c>
      <c r="F69" s="348">
        <f t="shared" si="15"/>
        <v>20</v>
      </c>
      <c r="G69" s="349">
        <f t="shared" si="76"/>
        <v>483732.27</v>
      </c>
      <c r="H69" s="350">
        <f t="shared" si="77"/>
        <v>2902393.61</v>
      </c>
      <c r="I69" s="350">
        <f t="shared" ref="I69" si="89">SUM(H66:H68)</f>
        <v>8707180.8300000001</v>
      </c>
      <c r="J69" s="303">
        <f t="shared" si="79"/>
        <v>45219</v>
      </c>
      <c r="K69" s="350">
        <f t="shared" si="85"/>
        <v>522430850.19</v>
      </c>
      <c r="L69" s="350">
        <f t="shared" si="9"/>
        <v>0</v>
      </c>
      <c r="M69" s="350">
        <f t="shared" si="81"/>
        <v>522430850.19</v>
      </c>
      <c r="N69" s="350">
        <f t="shared" si="42"/>
        <v>171241222.99000001</v>
      </c>
    </row>
    <row r="70" spans="1:14" x14ac:dyDescent="0.3">
      <c r="A70" s="346">
        <v>45231</v>
      </c>
      <c r="B70" s="347">
        <f t="shared" si="83"/>
        <v>522430850.19</v>
      </c>
      <c r="C70" s="347">
        <f t="shared" si="4"/>
        <v>0</v>
      </c>
      <c r="D70" s="347">
        <f t="shared" si="30"/>
        <v>522430850.19</v>
      </c>
      <c r="E70" s="347">
        <f t="shared" si="84"/>
        <v>2418661.34</v>
      </c>
      <c r="F70" s="348">
        <f t="shared" si="15"/>
        <v>20</v>
      </c>
      <c r="G70" s="349">
        <f t="shared" si="76"/>
        <v>483732.27</v>
      </c>
      <c r="H70" s="350">
        <f t="shared" si="77"/>
        <v>2902393.61</v>
      </c>
      <c r="I70" s="350">
        <v>0</v>
      </c>
      <c r="J70" s="303" t="str">
        <f t="shared" si="79"/>
        <v>-</v>
      </c>
      <c r="K70" s="350">
        <f t="shared" si="85"/>
        <v>522430850.19</v>
      </c>
      <c r="L70" s="350">
        <f t="shared" si="9"/>
        <v>0</v>
      </c>
      <c r="M70" s="350">
        <f t="shared" si="81"/>
        <v>522430850.19</v>
      </c>
      <c r="N70" s="350">
        <f t="shared" si="42"/>
        <v>171241222.99000001</v>
      </c>
    </row>
    <row r="71" spans="1:14" ht="19.5" thickBot="1" x14ac:dyDescent="0.35">
      <c r="A71" s="335">
        <v>45261</v>
      </c>
      <c r="B71" s="336">
        <f t="shared" si="83"/>
        <v>522430850.19</v>
      </c>
      <c r="C71" s="336">
        <f t="shared" si="4"/>
        <v>0</v>
      </c>
      <c r="D71" s="336">
        <f t="shared" si="30"/>
        <v>522430850.19</v>
      </c>
      <c r="E71" s="336">
        <f t="shared" si="84"/>
        <v>2418661.34</v>
      </c>
      <c r="F71" s="337">
        <f t="shared" si="15"/>
        <v>20</v>
      </c>
      <c r="G71" s="338">
        <f t="shared" si="76"/>
        <v>483732.27</v>
      </c>
      <c r="H71" s="339">
        <f t="shared" si="77"/>
        <v>2902393.61</v>
      </c>
      <c r="I71" s="339">
        <v>0</v>
      </c>
      <c r="J71" s="290" t="str">
        <f t="shared" si="79"/>
        <v>-</v>
      </c>
      <c r="K71" s="339">
        <f t="shared" si="85"/>
        <v>522430850.19</v>
      </c>
      <c r="L71" s="339">
        <f t="shared" si="9"/>
        <v>0</v>
      </c>
      <c r="M71" s="339">
        <f t="shared" si="81"/>
        <v>522430850.19</v>
      </c>
      <c r="N71" s="339">
        <f t="shared" si="42"/>
        <v>171241222.99000001</v>
      </c>
    </row>
    <row r="72" spans="1:14" s="351" customFormat="1" ht="19.5" thickBot="1" x14ac:dyDescent="0.35">
      <c r="A72" s="340">
        <v>2023</v>
      </c>
      <c r="B72" s="341">
        <f t="shared" ref="B72" si="90">B60</f>
        <v>522430850.19</v>
      </c>
      <c r="C72" s="341">
        <f t="shared" si="4"/>
        <v>0</v>
      </c>
      <c r="D72" s="341">
        <f t="shared" si="30"/>
        <v>522430850.19</v>
      </c>
      <c r="E72" s="341">
        <f t="shared" ref="E72" si="91">SUM(E60:E71)</f>
        <v>29023936.079999998</v>
      </c>
      <c r="F72" s="342">
        <f t="shared" si="15"/>
        <v>20</v>
      </c>
      <c r="G72" s="343">
        <f t="shared" ref="G72:I72" si="92">SUM(G60:G71)</f>
        <v>5804787.2400000002</v>
      </c>
      <c r="H72" s="344">
        <f t="shared" si="92"/>
        <v>34828723.32</v>
      </c>
      <c r="I72" s="344">
        <f t="shared" si="92"/>
        <v>34828723.32</v>
      </c>
      <c r="J72" s="296"/>
      <c r="K72" s="344">
        <f t="shared" si="85"/>
        <v>522430850.19</v>
      </c>
      <c r="L72" s="344">
        <f t="shared" ref="L72" si="93">L71</f>
        <v>0</v>
      </c>
      <c r="M72" s="344">
        <f t="shared" ref="M72" si="94">M71</f>
        <v>522430850.19</v>
      </c>
      <c r="N72" s="344">
        <f t="shared" ref="N72" si="95">N71</f>
        <v>171241222.99000001</v>
      </c>
    </row>
    <row r="73" spans="1:14" x14ac:dyDescent="0.3">
      <c r="A73" s="330">
        <v>45292</v>
      </c>
      <c r="B73" s="331">
        <f t="shared" ref="B73" si="96">B71</f>
        <v>522430850.19</v>
      </c>
      <c r="C73" s="331">
        <f t="shared" si="4"/>
        <v>0</v>
      </c>
      <c r="D73" s="331">
        <f t="shared" si="30"/>
        <v>522430850.19</v>
      </c>
      <c r="E73" s="331">
        <f t="shared" ref="E73" si="97">E60</f>
        <v>2418661.34</v>
      </c>
      <c r="F73" s="332">
        <f t="shared" si="15"/>
        <v>20</v>
      </c>
      <c r="G73" s="333">
        <f t="shared" ref="G73:G84" si="98">E73*F73/100</f>
        <v>483732.27</v>
      </c>
      <c r="H73" s="334">
        <f t="shared" ref="H73:H84" si="99">G73+E73</f>
        <v>2902393.61</v>
      </c>
      <c r="I73" s="334">
        <f t="shared" ref="I73" si="100">SUM(H69:H71)</f>
        <v>8707180.8300000001</v>
      </c>
      <c r="J73" s="284">
        <f t="shared" ref="J73:J84" si="101">IF(I73=0,"-",A73+19)</f>
        <v>45311</v>
      </c>
      <c r="K73" s="334">
        <f t="shared" ref="K73" si="102">K71</f>
        <v>522430850.19</v>
      </c>
      <c r="L73" s="334">
        <f t="shared" ref="L73:L136" si="103">K73-M73</f>
        <v>0</v>
      </c>
      <c r="M73" s="334">
        <f t="shared" ref="M73:M84" si="104">K73</f>
        <v>522430850.19</v>
      </c>
      <c r="N73" s="334">
        <f t="shared" ref="N73" si="105">N71+I73</f>
        <v>179948403.81999999</v>
      </c>
    </row>
    <row r="74" spans="1:14" x14ac:dyDescent="0.3">
      <c r="A74" s="346">
        <v>45323</v>
      </c>
      <c r="B74" s="347">
        <f t="shared" ref="B74:B84" si="106">B73</f>
        <v>522430850.19</v>
      </c>
      <c r="C74" s="347">
        <f t="shared" ref="C74:C137" si="107">B74-D74</f>
        <v>0</v>
      </c>
      <c r="D74" s="347">
        <f t="shared" si="30"/>
        <v>522430850.19</v>
      </c>
      <c r="E74" s="347">
        <f t="shared" ref="E74:F84" si="108">E73</f>
        <v>2418661.34</v>
      </c>
      <c r="F74" s="348">
        <f t="shared" si="15"/>
        <v>20</v>
      </c>
      <c r="G74" s="349">
        <f t="shared" si="98"/>
        <v>483732.27</v>
      </c>
      <c r="H74" s="350">
        <f t="shared" si="99"/>
        <v>2902393.61</v>
      </c>
      <c r="I74" s="350">
        <v>0</v>
      </c>
      <c r="J74" s="303" t="str">
        <f t="shared" si="101"/>
        <v>-</v>
      </c>
      <c r="K74" s="350">
        <f t="shared" ref="K74:K85" si="109">K73</f>
        <v>522430850.19</v>
      </c>
      <c r="L74" s="350">
        <f t="shared" si="103"/>
        <v>0</v>
      </c>
      <c r="M74" s="350">
        <f t="shared" si="104"/>
        <v>522430850.19</v>
      </c>
      <c r="N74" s="350">
        <f t="shared" ref="N74" si="110">N73+I74</f>
        <v>179948403.81999999</v>
      </c>
    </row>
    <row r="75" spans="1:14" x14ac:dyDescent="0.3">
      <c r="A75" s="346">
        <v>45352</v>
      </c>
      <c r="B75" s="347">
        <f t="shared" si="106"/>
        <v>522430850.19</v>
      </c>
      <c r="C75" s="347">
        <f t="shared" si="107"/>
        <v>0</v>
      </c>
      <c r="D75" s="347">
        <f t="shared" si="30"/>
        <v>522430850.19</v>
      </c>
      <c r="E75" s="347">
        <f t="shared" si="108"/>
        <v>2418661.34</v>
      </c>
      <c r="F75" s="348">
        <f t="shared" si="15"/>
        <v>20</v>
      </c>
      <c r="G75" s="349">
        <f t="shared" si="98"/>
        <v>483732.27</v>
      </c>
      <c r="H75" s="350">
        <f t="shared" si="99"/>
        <v>2902393.61</v>
      </c>
      <c r="I75" s="350">
        <v>0</v>
      </c>
      <c r="J75" s="303" t="str">
        <f t="shared" si="101"/>
        <v>-</v>
      </c>
      <c r="K75" s="350">
        <f t="shared" si="109"/>
        <v>522430850.19</v>
      </c>
      <c r="L75" s="350">
        <f t="shared" si="103"/>
        <v>0</v>
      </c>
      <c r="M75" s="350">
        <f t="shared" si="104"/>
        <v>522430850.19</v>
      </c>
      <c r="N75" s="350">
        <f t="shared" si="42"/>
        <v>179948403.81999999</v>
      </c>
    </row>
    <row r="76" spans="1:14" x14ac:dyDescent="0.3">
      <c r="A76" s="346">
        <v>45383</v>
      </c>
      <c r="B76" s="347">
        <f t="shared" si="106"/>
        <v>522430850.19</v>
      </c>
      <c r="C76" s="347">
        <f t="shared" si="107"/>
        <v>0</v>
      </c>
      <c r="D76" s="347">
        <f t="shared" si="30"/>
        <v>522430850.19</v>
      </c>
      <c r="E76" s="347">
        <f t="shared" si="108"/>
        <v>2418661.34</v>
      </c>
      <c r="F76" s="348">
        <f t="shared" si="15"/>
        <v>20</v>
      </c>
      <c r="G76" s="349">
        <f t="shared" si="98"/>
        <v>483732.27</v>
      </c>
      <c r="H76" s="350">
        <f t="shared" si="99"/>
        <v>2902393.61</v>
      </c>
      <c r="I76" s="350">
        <f t="shared" ref="I76" si="111">SUM(H73:H75)</f>
        <v>8707180.8300000001</v>
      </c>
      <c r="J76" s="303">
        <f t="shared" si="101"/>
        <v>45402</v>
      </c>
      <c r="K76" s="350">
        <f t="shared" si="109"/>
        <v>522430850.19</v>
      </c>
      <c r="L76" s="350">
        <f t="shared" si="103"/>
        <v>0</v>
      </c>
      <c r="M76" s="350">
        <f t="shared" si="104"/>
        <v>522430850.19</v>
      </c>
      <c r="N76" s="350">
        <f t="shared" si="42"/>
        <v>188655584.65000001</v>
      </c>
    </row>
    <row r="77" spans="1:14" x14ac:dyDescent="0.3">
      <c r="A77" s="346">
        <v>45413</v>
      </c>
      <c r="B77" s="347">
        <f t="shared" si="106"/>
        <v>522430850.19</v>
      </c>
      <c r="C77" s="347">
        <f t="shared" si="107"/>
        <v>0</v>
      </c>
      <c r="D77" s="347">
        <f t="shared" si="30"/>
        <v>522430850.19</v>
      </c>
      <c r="E77" s="347">
        <f t="shared" si="108"/>
        <v>2418661.34</v>
      </c>
      <c r="F77" s="348">
        <f t="shared" si="15"/>
        <v>20</v>
      </c>
      <c r="G77" s="349">
        <f t="shared" si="98"/>
        <v>483732.27</v>
      </c>
      <c r="H77" s="350">
        <f t="shared" si="99"/>
        <v>2902393.61</v>
      </c>
      <c r="I77" s="350">
        <v>0</v>
      </c>
      <c r="J77" s="303" t="str">
        <f t="shared" si="101"/>
        <v>-</v>
      </c>
      <c r="K77" s="350">
        <f t="shared" si="109"/>
        <v>522430850.19</v>
      </c>
      <c r="L77" s="350">
        <f t="shared" si="103"/>
        <v>0</v>
      </c>
      <c r="M77" s="350">
        <f t="shared" si="104"/>
        <v>522430850.19</v>
      </c>
      <c r="N77" s="350">
        <f t="shared" si="42"/>
        <v>188655584.65000001</v>
      </c>
    </row>
    <row r="78" spans="1:14" x14ac:dyDescent="0.3">
      <c r="A78" s="346">
        <v>45444</v>
      </c>
      <c r="B78" s="347">
        <f t="shared" si="106"/>
        <v>522430850.19</v>
      </c>
      <c r="C78" s="347">
        <f t="shared" si="107"/>
        <v>0</v>
      </c>
      <c r="D78" s="347">
        <f t="shared" si="30"/>
        <v>522430850.19</v>
      </c>
      <c r="E78" s="347">
        <f t="shared" si="108"/>
        <v>2418661.34</v>
      </c>
      <c r="F78" s="348">
        <f t="shared" si="15"/>
        <v>20</v>
      </c>
      <c r="G78" s="349">
        <f t="shared" si="98"/>
        <v>483732.27</v>
      </c>
      <c r="H78" s="350">
        <f t="shared" si="99"/>
        <v>2902393.61</v>
      </c>
      <c r="I78" s="350">
        <v>0</v>
      </c>
      <c r="J78" s="303" t="str">
        <f t="shared" si="101"/>
        <v>-</v>
      </c>
      <c r="K78" s="350">
        <f t="shared" si="109"/>
        <v>522430850.19</v>
      </c>
      <c r="L78" s="350">
        <f t="shared" si="103"/>
        <v>0</v>
      </c>
      <c r="M78" s="350">
        <f t="shared" si="104"/>
        <v>522430850.19</v>
      </c>
      <c r="N78" s="350">
        <f t="shared" si="42"/>
        <v>188655584.65000001</v>
      </c>
    </row>
    <row r="79" spans="1:14" x14ac:dyDescent="0.3">
      <c r="A79" s="346">
        <v>45474</v>
      </c>
      <c r="B79" s="347">
        <f t="shared" si="106"/>
        <v>522430850.19</v>
      </c>
      <c r="C79" s="347">
        <f t="shared" si="107"/>
        <v>0</v>
      </c>
      <c r="D79" s="347">
        <f t="shared" si="30"/>
        <v>522430850.19</v>
      </c>
      <c r="E79" s="347">
        <f t="shared" si="108"/>
        <v>2418661.34</v>
      </c>
      <c r="F79" s="348">
        <f t="shared" si="15"/>
        <v>20</v>
      </c>
      <c r="G79" s="349">
        <f t="shared" si="98"/>
        <v>483732.27</v>
      </c>
      <c r="H79" s="350">
        <f t="shared" si="99"/>
        <v>2902393.61</v>
      </c>
      <c r="I79" s="350">
        <f t="shared" ref="I79" si="112">SUM(H76:H78)</f>
        <v>8707180.8300000001</v>
      </c>
      <c r="J79" s="303">
        <f t="shared" si="101"/>
        <v>45493</v>
      </c>
      <c r="K79" s="350">
        <f t="shared" si="109"/>
        <v>522430850.19</v>
      </c>
      <c r="L79" s="350">
        <f t="shared" si="103"/>
        <v>0</v>
      </c>
      <c r="M79" s="350">
        <f t="shared" si="104"/>
        <v>522430850.19</v>
      </c>
      <c r="N79" s="350">
        <f t="shared" si="42"/>
        <v>197362765.47999999</v>
      </c>
    </row>
    <row r="80" spans="1:14" x14ac:dyDescent="0.3">
      <c r="A80" s="346">
        <v>45505</v>
      </c>
      <c r="B80" s="347">
        <f t="shared" si="106"/>
        <v>522430850.19</v>
      </c>
      <c r="C80" s="347">
        <f t="shared" si="107"/>
        <v>0</v>
      </c>
      <c r="D80" s="347">
        <f t="shared" si="30"/>
        <v>522430850.19</v>
      </c>
      <c r="E80" s="347">
        <f t="shared" si="108"/>
        <v>2418661.34</v>
      </c>
      <c r="F80" s="348">
        <f t="shared" si="15"/>
        <v>20</v>
      </c>
      <c r="G80" s="349">
        <f t="shared" si="98"/>
        <v>483732.27</v>
      </c>
      <c r="H80" s="350">
        <f t="shared" si="99"/>
        <v>2902393.61</v>
      </c>
      <c r="I80" s="350">
        <v>0</v>
      </c>
      <c r="J80" s="303" t="str">
        <f t="shared" si="101"/>
        <v>-</v>
      </c>
      <c r="K80" s="350">
        <f t="shared" si="109"/>
        <v>522430850.19</v>
      </c>
      <c r="L80" s="350">
        <f t="shared" si="103"/>
        <v>0</v>
      </c>
      <c r="M80" s="350">
        <f t="shared" si="104"/>
        <v>522430850.19</v>
      </c>
      <c r="N80" s="350">
        <f t="shared" si="42"/>
        <v>197362765.47999999</v>
      </c>
    </row>
    <row r="81" spans="1:14" x14ac:dyDescent="0.3">
      <c r="A81" s="346">
        <v>45536</v>
      </c>
      <c r="B81" s="347">
        <f t="shared" si="106"/>
        <v>522430850.19</v>
      </c>
      <c r="C81" s="347">
        <f t="shared" si="107"/>
        <v>0</v>
      </c>
      <c r="D81" s="347">
        <f t="shared" si="30"/>
        <v>522430850.19</v>
      </c>
      <c r="E81" s="347">
        <f t="shared" si="108"/>
        <v>2418661.34</v>
      </c>
      <c r="F81" s="348">
        <f t="shared" si="15"/>
        <v>20</v>
      </c>
      <c r="G81" s="349">
        <f t="shared" si="98"/>
        <v>483732.27</v>
      </c>
      <c r="H81" s="350">
        <f t="shared" si="99"/>
        <v>2902393.61</v>
      </c>
      <c r="I81" s="350">
        <v>0</v>
      </c>
      <c r="J81" s="303" t="str">
        <f t="shared" si="101"/>
        <v>-</v>
      </c>
      <c r="K81" s="350">
        <f t="shared" si="109"/>
        <v>522430850.19</v>
      </c>
      <c r="L81" s="350">
        <f t="shared" si="103"/>
        <v>0</v>
      </c>
      <c r="M81" s="350">
        <f t="shared" si="104"/>
        <v>522430850.19</v>
      </c>
      <c r="N81" s="350">
        <f t="shared" si="42"/>
        <v>197362765.47999999</v>
      </c>
    </row>
    <row r="82" spans="1:14" x14ac:dyDescent="0.3">
      <c r="A82" s="346">
        <v>45566</v>
      </c>
      <c r="B82" s="347">
        <f t="shared" si="106"/>
        <v>522430850.19</v>
      </c>
      <c r="C82" s="347">
        <f t="shared" si="107"/>
        <v>0</v>
      </c>
      <c r="D82" s="347">
        <f t="shared" si="30"/>
        <v>522430850.19</v>
      </c>
      <c r="E82" s="347">
        <f t="shared" si="108"/>
        <v>2418661.34</v>
      </c>
      <c r="F82" s="348">
        <f t="shared" si="15"/>
        <v>20</v>
      </c>
      <c r="G82" s="349">
        <f t="shared" si="98"/>
        <v>483732.27</v>
      </c>
      <c r="H82" s="350">
        <f t="shared" si="99"/>
        <v>2902393.61</v>
      </c>
      <c r="I82" s="350">
        <f t="shared" ref="I82" si="113">SUM(H79:H81)</f>
        <v>8707180.8300000001</v>
      </c>
      <c r="J82" s="303">
        <f t="shared" si="101"/>
        <v>45585</v>
      </c>
      <c r="K82" s="350">
        <f t="shared" si="109"/>
        <v>522430850.19</v>
      </c>
      <c r="L82" s="350">
        <f t="shared" si="103"/>
        <v>0</v>
      </c>
      <c r="M82" s="350">
        <f t="shared" si="104"/>
        <v>522430850.19</v>
      </c>
      <c r="N82" s="350">
        <f t="shared" si="42"/>
        <v>206069946.31</v>
      </c>
    </row>
    <row r="83" spans="1:14" x14ac:dyDescent="0.3">
      <c r="A83" s="346">
        <v>45597</v>
      </c>
      <c r="B83" s="347">
        <f t="shared" si="106"/>
        <v>522430850.19</v>
      </c>
      <c r="C83" s="347">
        <f t="shared" si="107"/>
        <v>0</v>
      </c>
      <c r="D83" s="347">
        <f t="shared" si="30"/>
        <v>522430850.19</v>
      </c>
      <c r="E83" s="347">
        <f t="shared" si="108"/>
        <v>2418661.34</v>
      </c>
      <c r="F83" s="348">
        <f t="shared" si="15"/>
        <v>20</v>
      </c>
      <c r="G83" s="349">
        <f t="shared" si="98"/>
        <v>483732.27</v>
      </c>
      <c r="H83" s="350">
        <f t="shared" si="99"/>
        <v>2902393.61</v>
      </c>
      <c r="I83" s="350">
        <v>0</v>
      </c>
      <c r="J83" s="303" t="str">
        <f t="shared" si="101"/>
        <v>-</v>
      </c>
      <c r="K83" s="350">
        <f t="shared" si="109"/>
        <v>522430850.19</v>
      </c>
      <c r="L83" s="350">
        <f t="shared" si="103"/>
        <v>0</v>
      </c>
      <c r="M83" s="350">
        <f t="shared" si="104"/>
        <v>522430850.19</v>
      </c>
      <c r="N83" s="350">
        <f t="shared" si="42"/>
        <v>206069946.31</v>
      </c>
    </row>
    <row r="84" spans="1:14" ht="19.5" thickBot="1" x14ac:dyDescent="0.35">
      <c r="A84" s="335">
        <v>45627</v>
      </c>
      <c r="B84" s="336">
        <f t="shared" si="106"/>
        <v>522430850.19</v>
      </c>
      <c r="C84" s="336">
        <f t="shared" si="107"/>
        <v>0</v>
      </c>
      <c r="D84" s="336">
        <f t="shared" si="30"/>
        <v>522430850.19</v>
      </c>
      <c r="E84" s="336">
        <f t="shared" si="108"/>
        <v>2418661.34</v>
      </c>
      <c r="F84" s="337">
        <f t="shared" si="108"/>
        <v>20</v>
      </c>
      <c r="G84" s="338">
        <f t="shared" si="98"/>
        <v>483732.27</v>
      </c>
      <c r="H84" s="339">
        <f t="shared" si="99"/>
        <v>2902393.61</v>
      </c>
      <c r="I84" s="339">
        <v>0</v>
      </c>
      <c r="J84" s="290" t="str">
        <f t="shared" si="101"/>
        <v>-</v>
      </c>
      <c r="K84" s="339">
        <f t="shared" si="109"/>
        <v>522430850.19</v>
      </c>
      <c r="L84" s="339">
        <f t="shared" si="103"/>
        <v>0</v>
      </c>
      <c r="M84" s="339">
        <f t="shared" si="104"/>
        <v>522430850.19</v>
      </c>
      <c r="N84" s="339">
        <f t="shared" si="42"/>
        <v>206069946.31</v>
      </c>
    </row>
    <row r="85" spans="1:14" s="351" customFormat="1" ht="19.5" thickBot="1" x14ac:dyDescent="0.35">
      <c r="A85" s="340">
        <v>2024</v>
      </c>
      <c r="B85" s="341">
        <f t="shared" ref="B85" si="114">B73</f>
        <v>522430850.19</v>
      </c>
      <c r="C85" s="341">
        <f t="shared" si="107"/>
        <v>0</v>
      </c>
      <c r="D85" s="341">
        <f t="shared" si="30"/>
        <v>522430850.19</v>
      </c>
      <c r="E85" s="341">
        <f t="shared" ref="E85" si="115">SUM(E73:E84)</f>
        <v>29023936.079999998</v>
      </c>
      <c r="F85" s="342">
        <f t="shared" ref="F85:F148" si="116">F84</f>
        <v>20</v>
      </c>
      <c r="G85" s="343">
        <f t="shared" ref="G85:I85" si="117">SUM(G73:G84)</f>
        <v>5804787.2400000002</v>
      </c>
      <c r="H85" s="344">
        <f t="shared" si="117"/>
        <v>34828723.32</v>
      </c>
      <c r="I85" s="344">
        <f t="shared" si="117"/>
        <v>34828723.32</v>
      </c>
      <c r="J85" s="296"/>
      <c r="K85" s="344">
        <f t="shared" si="109"/>
        <v>522430850.19</v>
      </c>
      <c r="L85" s="344">
        <f t="shared" ref="L85" si="118">L84</f>
        <v>0</v>
      </c>
      <c r="M85" s="344">
        <f t="shared" ref="M85" si="119">M84</f>
        <v>522430850.19</v>
      </c>
      <c r="N85" s="344">
        <f t="shared" ref="N85" si="120">N84</f>
        <v>206069946.31</v>
      </c>
    </row>
    <row r="86" spans="1:14" x14ac:dyDescent="0.3">
      <c r="A86" s="330">
        <v>45658</v>
      </c>
      <c r="B86" s="331">
        <f t="shared" ref="B86" si="121">B84</f>
        <v>522430850.19</v>
      </c>
      <c r="C86" s="331">
        <f t="shared" si="107"/>
        <v>0</v>
      </c>
      <c r="D86" s="331">
        <f t="shared" si="30"/>
        <v>522430850.19</v>
      </c>
      <c r="E86" s="331">
        <f t="shared" ref="E86" si="122">E73</f>
        <v>2418661.34</v>
      </c>
      <c r="F86" s="332">
        <f t="shared" si="116"/>
        <v>20</v>
      </c>
      <c r="G86" s="333">
        <f t="shared" ref="G86:G97" si="123">E86*F86/100</f>
        <v>483732.27</v>
      </c>
      <c r="H86" s="334">
        <f t="shared" ref="H86:H97" si="124">G86+E86</f>
        <v>2902393.61</v>
      </c>
      <c r="I86" s="334">
        <f t="shared" ref="I86" si="125">SUM(H82:H84)</f>
        <v>8707180.8300000001</v>
      </c>
      <c r="J86" s="284">
        <f t="shared" ref="J86:J97" si="126">IF(I86=0,"-",A86+19)</f>
        <v>45677</v>
      </c>
      <c r="K86" s="334">
        <f t="shared" ref="K86" si="127">K84</f>
        <v>522430850.19</v>
      </c>
      <c r="L86" s="334">
        <f t="shared" si="103"/>
        <v>0</v>
      </c>
      <c r="M86" s="334">
        <f t="shared" ref="M86:M97" si="128">K86</f>
        <v>522430850.19</v>
      </c>
      <c r="N86" s="334">
        <f t="shared" ref="N86" si="129">N84+I86</f>
        <v>214777127.13999999</v>
      </c>
    </row>
    <row r="87" spans="1:14" x14ac:dyDescent="0.3">
      <c r="A87" s="346">
        <v>45689</v>
      </c>
      <c r="B87" s="347">
        <f t="shared" ref="B87:B97" si="130">B86</f>
        <v>522430850.19</v>
      </c>
      <c r="C87" s="347">
        <f t="shared" si="107"/>
        <v>0</v>
      </c>
      <c r="D87" s="347">
        <f t="shared" si="30"/>
        <v>522430850.19</v>
      </c>
      <c r="E87" s="347">
        <f t="shared" ref="E87:E97" si="131">E86</f>
        <v>2418661.34</v>
      </c>
      <c r="F87" s="348">
        <f t="shared" si="116"/>
        <v>20</v>
      </c>
      <c r="G87" s="349">
        <f t="shared" si="123"/>
        <v>483732.27</v>
      </c>
      <c r="H87" s="350">
        <f t="shared" si="124"/>
        <v>2902393.61</v>
      </c>
      <c r="I87" s="350">
        <v>0</v>
      </c>
      <c r="J87" s="303" t="str">
        <f t="shared" si="126"/>
        <v>-</v>
      </c>
      <c r="K87" s="350">
        <f t="shared" ref="K87:K98" si="132">K86</f>
        <v>522430850.19</v>
      </c>
      <c r="L87" s="350">
        <f t="shared" si="103"/>
        <v>0</v>
      </c>
      <c r="M87" s="350">
        <f t="shared" si="128"/>
        <v>522430850.19</v>
      </c>
      <c r="N87" s="350">
        <f t="shared" ref="N87" si="133">N86+I87</f>
        <v>214777127.13999999</v>
      </c>
    </row>
    <row r="88" spans="1:14" x14ac:dyDescent="0.3">
      <c r="A88" s="346">
        <v>45717</v>
      </c>
      <c r="B88" s="347">
        <f t="shared" si="130"/>
        <v>522430850.19</v>
      </c>
      <c r="C88" s="347">
        <f t="shared" si="107"/>
        <v>0</v>
      </c>
      <c r="D88" s="347">
        <f t="shared" si="30"/>
        <v>522430850.19</v>
      </c>
      <c r="E88" s="347">
        <f t="shared" si="131"/>
        <v>2418661.34</v>
      </c>
      <c r="F88" s="348">
        <f t="shared" si="116"/>
        <v>20</v>
      </c>
      <c r="G88" s="349">
        <f t="shared" si="123"/>
        <v>483732.27</v>
      </c>
      <c r="H88" s="350">
        <f t="shared" si="124"/>
        <v>2902393.61</v>
      </c>
      <c r="I88" s="350">
        <v>0</v>
      </c>
      <c r="J88" s="303" t="str">
        <f t="shared" si="126"/>
        <v>-</v>
      </c>
      <c r="K88" s="350">
        <f t="shared" si="132"/>
        <v>522430850.19</v>
      </c>
      <c r="L88" s="350">
        <f t="shared" si="103"/>
        <v>0</v>
      </c>
      <c r="M88" s="350">
        <f t="shared" si="128"/>
        <v>522430850.19</v>
      </c>
      <c r="N88" s="350">
        <f t="shared" si="42"/>
        <v>214777127.13999999</v>
      </c>
    </row>
    <row r="89" spans="1:14" x14ac:dyDescent="0.3">
      <c r="A89" s="346">
        <v>45748</v>
      </c>
      <c r="B89" s="347">
        <f t="shared" si="130"/>
        <v>522430850.19</v>
      </c>
      <c r="C89" s="347">
        <f t="shared" si="107"/>
        <v>0</v>
      </c>
      <c r="D89" s="347">
        <f t="shared" si="30"/>
        <v>522430850.19</v>
      </c>
      <c r="E89" s="347">
        <f t="shared" si="131"/>
        <v>2418661.34</v>
      </c>
      <c r="F89" s="348">
        <f t="shared" si="116"/>
        <v>20</v>
      </c>
      <c r="G89" s="349">
        <f t="shared" si="123"/>
        <v>483732.27</v>
      </c>
      <c r="H89" s="350">
        <f t="shared" si="124"/>
        <v>2902393.61</v>
      </c>
      <c r="I89" s="350">
        <f t="shared" ref="I89" si="134">SUM(H86:H88)</f>
        <v>8707180.8300000001</v>
      </c>
      <c r="J89" s="303">
        <f t="shared" si="126"/>
        <v>45767</v>
      </c>
      <c r="K89" s="350">
        <f t="shared" si="132"/>
        <v>522430850.19</v>
      </c>
      <c r="L89" s="350">
        <f t="shared" si="103"/>
        <v>0</v>
      </c>
      <c r="M89" s="350">
        <f t="shared" si="128"/>
        <v>522430850.19</v>
      </c>
      <c r="N89" s="350">
        <f t="shared" si="42"/>
        <v>223484307.97</v>
      </c>
    </row>
    <row r="90" spans="1:14" x14ac:dyDescent="0.3">
      <c r="A90" s="346">
        <v>45778</v>
      </c>
      <c r="B90" s="347">
        <f t="shared" si="130"/>
        <v>522430850.19</v>
      </c>
      <c r="C90" s="347">
        <f t="shared" si="107"/>
        <v>0</v>
      </c>
      <c r="D90" s="347">
        <f t="shared" si="30"/>
        <v>522430850.19</v>
      </c>
      <c r="E90" s="347">
        <f t="shared" si="131"/>
        <v>2418661.34</v>
      </c>
      <c r="F90" s="348">
        <f t="shared" si="116"/>
        <v>20</v>
      </c>
      <c r="G90" s="349">
        <f t="shared" si="123"/>
        <v>483732.27</v>
      </c>
      <c r="H90" s="350">
        <f t="shared" si="124"/>
        <v>2902393.61</v>
      </c>
      <c r="I90" s="350">
        <v>0</v>
      </c>
      <c r="J90" s="303" t="str">
        <f t="shared" si="126"/>
        <v>-</v>
      </c>
      <c r="K90" s="350">
        <f t="shared" si="132"/>
        <v>522430850.19</v>
      </c>
      <c r="L90" s="350">
        <f t="shared" si="103"/>
        <v>0</v>
      </c>
      <c r="M90" s="350">
        <f t="shared" si="128"/>
        <v>522430850.19</v>
      </c>
      <c r="N90" s="350">
        <f t="shared" si="42"/>
        <v>223484307.97</v>
      </c>
    </row>
    <row r="91" spans="1:14" x14ac:dyDescent="0.3">
      <c r="A91" s="346">
        <v>45809</v>
      </c>
      <c r="B91" s="347">
        <f t="shared" si="130"/>
        <v>522430850.19</v>
      </c>
      <c r="C91" s="347">
        <f t="shared" si="107"/>
        <v>0</v>
      </c>
      <c r="D91" s="347">
        <f t="shared" si="30"/>
        <v>522430850.19</v>
      </c>
      <c r="E91" s="347">
        <f t="shared" si="131"/>
        <v>2418661.34</v>
      </c>
      <c r="F91" s="348">
        <f t="shared" si="116"/>
        <v>20</v>
      </c>
      <c r="G91" s="349">
        <f t="shared" si="123"/>
        <v>483732.27</v>
      </c>
      <c r="H91" s="350">
        <f t="shared" si="124"/>
        <v>2902393.61</v>
      </c>
      <c r="I91" s="350">
        <v>0</v>
      </c>
      <c r="J91" s="303" t="str">
        <f t="shared" si="126"/>
        <v>-</v>
      </c>
      <c r="K91" s="350">
        <f t="shared" si="132"/>
        <v>522430850.19</v>
      </c>
      <c r="L91" s="350">
        <f t="shared" si="103"/>
        <v>0</v>
      </c>
      <c r="M91" s="350">
        <f t="shared" si="128"/>
        <v>522430850.19</v>
      </c>
      <c r="N91" s="350">
        <f t="shared" si="42"/>
        <v>223484307.97</v>
      </c>
    </row>
    <row r="92" spans="1:14" x14ac:dyDescent="0.3">
      <c r="A92" s="346">
        <v>45839</v>
      </c>
      <c r="B92" s="347">
        <f t="shared" si="130"/>
        <v>522430850.19</v>
      </c>
      <c r="C92" s="347">
        <f t="shared" si="107"/>
        <v>0</v>
      </c>
      <c r="D92" s="347">
        <f t="shared" si="30"/>
        <v>522430850.19</v>
      </c>
      <c r="E92" s="347">
        <f t="shared" si="131"/>
        <v>2418661.34</v>
      </c>
      <c r="F92" s="348">
        <f t="shared" si="116"/>
        <v>20</v>
      </c>
      <c r="G92" s="349">
        <f t="shared" si="123"/>
        <v>483732.27</v>
      </c>
      <c r="H92" s="350">
        <f t="shared" si="124"/>
        <v>2902393.61</v>
      </c>
      <c r="I92" s="350">
        <f t="shared" ref="I92" si="135">SUM(H89:H91)</f>
        <v>8707180.8300000001</v>
      </c>
      <c r="J92" s="303">
        <f t="shared" si="126"/>
        <v>45858</v>
      </c>
      <c r="K92" s="350">
        <f t="shared" si="132"/>
        <v>522430850.19</v>
      </c>
      <c r="L92" s="350">
        <f t="shared" si="103"/>
        <v>0</v>
      </c>
      <c r="M92" s="350">
        <f t="shared" si="128"/>
        <v>522430850.19</v>
      </c>
      <c r="N92" s="350">
        <f t="shared" si="42"/>
        <v>232191488.80000001</v>
      </c>
    </row>
    <row r="93" spans="1:14" x14ac:dyDescent="0.3">
      <c r="A93" s="346">
        <v>45870</v>
      </c>
      <c r="B93" s="347">
        <f t="shared" si="130"/>
        <v>522430850.19</v>
      </c>
      <c r="C93" s="347">
        <f t="shared" si="107"/>
        <v>0</v>
      </c>
      <c r="D93" s="347">
        <f t="shared" si="30"/>
        <v>522430850.19</v>
      </c>
      <c r="E93" s="347">
        <f t="shared" si="131"/>
        <v>2418661.34</v>
      </c>
      <c r="F93" s="348">
        <f t="shared" si="116"/>
        <v>20</v>
      </c>
      <c r="G93" s="349">
        <f t="shared" si="123"/>
        <v>483732.27</v>
      </c>
      <c r="H93" s="350">
        <f t="shared" si="124"/>
        <v>2902393.61</v>
      </c>
      <c r="I93" s="350">
        <v>0</v>
      </c>
      <c r="J93" s="303" t="str">
        <f t="shared" si="126"/>
        <v>-</v>
      </c>
      <c r="K93" s="350">
        <f t="shared" si="132"/>
        <v>522430850.19</v>
      </c>
      <c r="L93" s="350">
        <f t="shared" si="103"/>
        <v>0</v>
      </c>
      <c r="M93" s="350">
        <f t="shared" si="128"/>
        <v>522430850.19</v>
      </c>
      <c r="N93" s="350">
        <f t="shared" si="42"/>
        <v>232191488.80000001</v>
      </c>
    </row>
    <row r="94" spans="1:14" x14ac:dyDescent="0.3">
      <c r="A94" s="346">
        <v>45901</v>
      </c>
      <c r="B94" s="347">
        <f t="shared" si="130"/>
        <v>522430850.19</v>
      </c>
      <c r="C94" s="347">
        <f t="shared" si="107"/>
        <v>0</v>
      </c>
      <c r="D94" s="347">
        <f t="shared" si="30"/>
        <v>522430850.19</v>
      </c>
      <c r="E94" s="347">
        <f t="shared" si="131"/>
        <v>2418661.34</v>
      </c>
      <c r="F94" s="348">
        <f t="shared" si="116"/>
        <v>20</v>
      </c>
      <c r="G94" s="349">
        <f t="shared" si="123"/>
        <v>483732.27</v>
      </c>
      <c r="H94" s="350">
        <f t="shared" si="124"/>
        <v>2902393.61</v>
      </c>
      <c r="I94" s="350">
        <v>0</v>
      </c>
      <c r="J94" s="303" t="str">
        <f t="shared" si="126"/>
        <v>-</v>
      </c>
      <c r="K94" s="350">
        <f t="shared" si="132"/>
        <v>522430850.19</v>
      </c>
      <c r="L94" s="350">
        <f t="shared" si="103"/>
        <v>0</v>
      </c>
      <c r="M94" s="350">
        <f t="shared" si="128"/>
        <v>522430850.19</v>
      </c>
      <c r="N94" s="350">
        <f t="shared" si="42"/>
        <v>232191488.80000001</v>
      </c>
    </row>
    <row r="95" spans="1:14" x14ac:dyDescent="0.3">
      <c r="A95" s="346">
        <v>45931</v>
      </c>
      <c r="B95" s="347">
        <f t="shared" si="130"/>
        <v>522430850.19</v>
      </c>
      <c r="C95" s="347">
        <f t="shared" si="107"/>
        <v>0</v>
      </c>
      <c r="D95" s="347">
        <f t="shared" si="30"/>
        <v>522430850.19</v>
      </c>
      <c r="E95" s="347">
        <f t="shared" si="131"/>
        <v>2418661.34</v>
      </c>
      <c r="F95" s="348">
        <f t="shared" si="116"/>
        <v>20</v>
      </c>
      <c r="G95" s="349">
        <f t="shared" si="123"/>
        <v>483732.27</v>
      </c>
      <c r="H95" s="350">
        <f t="shared" si="124"/>
        <v>2902393.61</v>
      </c>
      <c r="I95" s="350">
        <f t="shared" ref="I95" si="136">SUM(H92:H94)</f>
        <v>8707180.8300000001</v>
      </c>
      <c r="J95" s="303">
        <f t="shared" si="126"/>
        <v>45950</v>
      </c>
      <c r="K95" s="350">
        <f t="shared" si="132"/>
        <v>522430850.19</v>
      </c>
      <c r="L95" s="350">
        <f t="shared" si="103"/>
        <v>0</v>
      </c>
      <c r="M95" s="350">
        <f t="shared" si="128"/>
        <v>522430850.19</v>
      </c>
      <c r="N95" s="350">
        <f t="shared" si="42"/>
        <v>240898669.63</v>
      </c>
    </row>
    <row r="96" spans="1:14" x14ac:dyDescent="0.3">
      <c r="A96" s="346">
        <v>45962</v>
      </c>
      <c r="B96" s="347">
        <f t="shared" si="130"/>
        <v>522430850.19</v>
      </c>
      <c r="C96" s="347">
        <f t="shared" si="107"/>
        <v>0</v>
      </c>
      <c r="D96" s="347">
        <f t="shared" si="30"/>
        <v>522430850.19</v>
      </c>
      <c r="E96" s="347">
        <f t="shared" si="131"/>
        <v>2418661.34</v>
      </c>
      <c r="F96" s="348">
        <f t="shared" si="116"/>
        <v>20</v>
      </c>
      <c r="G96" s="349">
        <f t="shared" si="123"/>
        <v>483732.27</v>
      </c>
      <c r="H96" s="350">
        <f t="shared" si="124"/>
        <v>2902393.61</v>
      </c>
      <c r="I96" s="350">
        <v>0</v>
      </c>
      <c r="J96" s="303" t="str">
        <f t="shared" si="126"/>
        <v>-</v>
      </c>
      <c r="K96" s="350">
        <f t="shared" si="132"/>
        <v>522430850.19</v>
      </c>
      <c r="L96" s="350">
        <f t="shared" si="103"/>
        <v>0</v>
      </c>
      <c r="M96" s="350">
        <f t="shared" si="128"/>
        <v>522430850.19</v>
      </c>
      <c r="N96" s="350">
        <f t="shared" si="42"/>
        <v>240898669.63</v>
      </c>
    </row>
    <row r="97" spans="1:14" ht="19.5" thickBot="1" x14ac:dyDescent="0.35">
      <c r="A97" s="335">
        <v>45992</v>
      </c>
      <c r="B97" s="336">
        <f t="shared" si="130"/>
        <v>522430850.19</v>
      </c>
      <c r="C97" s="336">
        <f t="shared" si="107"/>
        <v>0</v>
      </c>
      <c r="D97" s="336">
        <f t="shared" si="30"/>
        <v>522430850.19</v>
      </c>
      <c r="E97" s="336">
        <f t="shared" si="131"/>
        <v>2418661.34</v>
      </c>
      <c r="F97" s="337">
        <f t="shared" si="116"/>
        <v>20</v>
      </c>
      <c r="G97" s="338">
        <f t="shared" si="123"/>
        <v>483732.27</v>
      </c>
      <c r="H97" s="339">
        <f t="shared" si="124"/>
        <v>2902393.61</v>
      </c>
      <c r="I97" s="339">
        <v>0</v>
      </c>
      <c r="J97" s="290" t="str">
        <f t="shared" si="126"/>
        <v>-</v>
      </c>
      <c r="K97" s="339">
        <f t="shared" si="132"/>
        <v>522430850.19</v>
      </c>
      <c r="L97" s="339">
        <f t="shared" si="103"/>
        <v>0</v>
      </c>
      <c r="M97" s="339">
        <f t="shared" si="128"/>
        <v>522430850.19</v>
      </c>
      <c r="N97" s="339">
        <f t="shared" si="42"/>
        <v>240898669.63</v>
      </c>
    </row>
    <row r="98" spans="1:14" s="351" customFormat="1" ht="19.5" thickBot="1" x14ac:dyDescent="0.35">
      <c r="A98" s="340">
        <v>2025</v>
      </c>
      <c r="B98" s="341">
        <f t="shared" ref="B98" si="137">B86</f>
        <v>522430850.19</v>
      </c>
      <c r="C98" s="341">
        <f t="shared" si="107"/>
        <v>0</v>
      </c>
      <c r="D98" s="341">
        <f t="shared" ref="D98:D161" si="138">B98</f>
        <v>522430850.19</v>
      </c>
      <c r="E98" s="341">
        <f t="shared" ref="E98" si="139">SUM(E86:E97)</f>
        <v>29023936.079999998</v>
      </c>
      <c r="F98" s="342">
        <f t="shared" si="116"/>
        <v>20</v>
      </c>
      <c r="G98" s="343">
        <f t="shared" ref="G98:I98" si="140">SUM(G86:G97)</f>
        <v>5804787.2400000002</v>
      </c>
      <c r="H98" s="344">
        <f t="shared" si="140"/>
        <v>34828723.32</v>
      </c>
      <c r="I98" s="344">
        <f t="shared" si="140"/>
        <v>34828723.32</v>
      </c>
      <c r="J98" s="296"/>
      <c r="K98" s="344">
        <f t="shared" si="132"/>
        <v>522430850.19</v>
      </c>
      <c r="L98" s="344">
        <f t="shared" ref="L98" si="141">L97</f>
        <v>0</v>
      </c>
      <c r="M98" s="344">
        <f t="shared" ref="M98" si="142">M97</f>
        <v>522430850.19</v>
      </c>
      <c r="N98" s="344">
        <f t="shared" ref="N98" si="143">N97</f>
        <v>240898669.63</v>
      </c>
    </row>
    <row r="99" spans="1:14" x14ac:dyDescent="0.3">
      <c r="A99" s="330">
        <v>46023</v>
      </c>
      <c r="B99" s="331">
        <f t="shared" ref="B99" si="144">B97</f>
        <v>522430850.19</v>
      </c>
      <c r="C99" s="331">
        <f t="shared" si="107"/>
        <v>0</v>
      </c>
      <c r="D99" s="331">
        <f t="shared" si="138"/>
        <v>522430850.19</v>
      </c>
      <c r="E99" s="331">
        <f t="shared" ref="E99" si="145">E86</f>
        <v>2418661.34</v>
      </c>
      <c r="F99" s="332">
        <f t="shared" si="116"/>
        <v>20</v>
      </c>
      <c r="G99" s="333">
        <f t="shared" ref="G99:G110" si="146">E99*F99/100</f>
        <v>483732.27</v>
      </c>
      <c r="H99" s="334">
        <f t="shared" ref="H99:H110" si="147">G99+E99</f>
        <v>2902393.61</v>
      </c>
      <c r="I99" s="334">
        <f t="shared" ref="I99" si="148">SUM(H95:H97)</f>
        <v>8707180.8300000001</v>
      </c>
      <c r="J99" s="284">
        <f t="shared" ref="J99:J110" si="149">IF(I99=0,"-",A99+19)</f>
        <v>46042</v>
      </c>
      <c r="K99" s="334">
        <f t="shared" ref="K99" si="150">K97</f>
        <v>522430850.19</v>
      </c>
      <c r="L99" s="334">
        <f t="shared" si="103"/>
        <v>0</v>
      </c>
      <c r="M99" s="334">
        <f t="shared" ref="M99:M110" si="151">K99</f>
        <v>522430850.19</v>
      </c>
      <c r="N99" s="334">
        <f t="shared" ref="N99" si="152">N97+I99</f>
        <v>249605850.46000001</v>
      </c>
    </row>
    <row r="100" spans="1:14" x14ac:dyDescent="0.3">
      <c r="A100" s="346">
        <v>46054</v>
      </c>
      <c r="B100" s="347">
        <f t="shared" ref="B100:B110" si="153">B99</f>
        <v>522430850.19</v>
      </c>
      <c r="C100" s="347">
        <f t="shared" si="107"/>
        <v>0</v>
      </c>
      <c r="D100" s="347">
        <f t="shared" si="138"/>
        <v>522430850.19</v>
      </c>
      <c r="E100" s="347">
        <f t="shared" ref="E100:E110" si="154">E99</f>
        <v>2418661.34</v>
      </c>
      <c r="F100" s="348">
        <f t="shared" si="116"/>
        <v>20</v>
      </c>
      <c r="G100" s="349">
        <f t="shared" si="146"/>
        <v>483732.27</v>
      </c>
      <c r="H100" s="350">
        <f t="shared" si="147"/>
        <v>2902393.61</v>
      </c>
      <c r="I100" s="350">
        <v>0</v>
      </c>
      <c r="J100" s="303" t="str">
        <f t="shared" si="149"/>
        <v>-</v>
      </c>
      <c r="K100" s="350">
        <f t="shared" ref="K100:K111" si="155">K99</f>
        <v>522430850.19</v>
      </c>
      <c r="L100" s="350">
        <f t="shared" si="103"/>
        <v>0</v>
      </c>
      <c r="M100" s="350">
        <f t="shared" si="151"/>
        <v>522430850.19</v>
      </c>
      <c r="N100" s="350">
        <f t="shared" ref="N100:N162" si="156">N99+I100</f>
        <v>249605850.46000001</v>
      </c>
    </row>
    <row r="101" spans="1:14" x14ac:dyDescent="0.3">
      <c r="A101" s="346">
        <v>46082</v>
      </c>
      <c r="B101" s="347">
        <f t="shared" si="153"/>
        <v>522430850.19</v>
      </c>
      <c r="C101" s="347">
        <f t="shared" si="107"/>
        <v>0</v>
      </c>
      <c r="D101" s="347">
        <f t="shared" si="138"/>
        <v>522430850.19</v>
      </c>
      <c r="E101" s="347">
        <f t="shared" si="154"/>
        <v>2418661.34</v>
      </c>
      <c r="F101" s="348">
        <f t="shared" si="116"/>
        <v>20</v>
      </c>
      <c r="G101" s="349">
        <f t="shared" si="146"/>
        <v>483732.27</v>
      </c>
      <c r="H101" s="350">
        <f t="shared" si="147"/>
        <v>2902393.61</v>
      </c>
      <c r="I101" s="350">
        <v>0</v>
      </c>
      <c r="J101" s="303" t="str">
        <f t="shared" si="149"/>
        <v>-</v>
      </c>
      <c r="K101" s="350">
        <f t="shared" si="155"/>
        <v>522430850.19</v>
      </c>
      <c r="L101" s="350">
        <f t="shared" si="103"/>
        <v>0</v>
      </c>
      <c r="M101" s="350">
        <f t="shared" si="151"/>
        <v>522430850.19</v>
      </c>
      <c r="N101" s="350">
        <f t="shared" si="156"/>
        <v>249605850.46000001</v>
      </c>
    </row>
    <row r="102" spans="1:14" x14ac:dyDescent="0.3">
      <c r="A102" s="346">
        <v>46113</v>
      </c>
      <c r="B102" s="347">
        <f t="shared" si="153"/>
        <v>522430850.19</v>
      </c>
      <c r="C102" s="347">
        <f t="shared" si="107"/>
        <v>0</v>
      </c>
      <c r="D102" s="347">
        <f t="shared" si="138"/>
        <v>522430850.19</v>
      </c>
      <c r="E102" s="347">
        <f t="shared" si="154"/>
        <v>2418661.34</v>
      </c>
      <c r="F102" s="348">
        <f t="shared" si="116"/>
        <v>20</v>
      </c>
      <c r="G102" s="349">
        <f t="shared" si="146"/>
        <v>483732.27</v>
      </c>
      <c r="H102" s="350">
        <f t="shared" si="147"/>
        <v>2902393.61</v>
      </c>
      <c r="I102" s="350">
        <f t="shared" ref="I102" si="157">SUM(H99:H101)</f>
        <v>8707180.8300000001</v>
      </c>
      <c r="J102" s="303">
        <f t="shared" si="149"/>
        <v>46132</v>
      </c>
      <c r="K102" s="350">
        <f t="shared" si="155"/>
        <v>522430850.19</v>
      </c>
      <c r="L102" s="350">
        <f t="shared" si="103"/>
        <v>0</v>
      </c>
      <c r="M102" s="350">
        <f t="shared" si="151"/>
        <v>522430850.19</v>
      </c>
      <c r="N102" s="350">
        <f t="shared" si="156"/>
        <v>258313031.28999999</v>
      </c>
    </row>
    <row r="103" spans="1:14" x14ac:dyDescent="0.3">
      <c r="A103" s="346">
        <v>46143</v>
      </c>
      <c r="B103" s="347">
        <f t="shared" si="153"/>
        <v>522430850.19</v>
      </c>
      <c r="C103" s="347">
        <f t="shared" si="107"/>
        <v>0</v>
      </c>
      <c r="D103" s="347">
        <f t="shared" si="138"/>
        <v>522430850.19</v>
      </c>
      <c r="E103" s="347">
        <f t="shared" si="154"/>
        <v>2418661.34</v>
      </c>
      <c r="F103" s="348">
        <f t="shared" si="116"/>
        <v>20</v>
      </c>
      <c r="G103" s="349">
        <f t="shared" si="146"/>
        <v>483732.27</v>
      </c>
      <c r="H103" s="350">
        <f t="shared" si="147"/>
        <v>2902393.61</v>
      </c>
      <c r="I103" s="350">
        <v>0</v>
      </c>
      <c r="J103" s="303" t="str">
        <f t="shared" si="149"/>
        <v>-</v>
      </c>
      <c r="K103" s="350">
        <f t="shared" si="155"/>
        <v>522430850.19</v>
      </c>
      <c r="L103" s="350">
        <f t="shared" si="103"/>
        <v>0</v>
      </c>
      <c r="M103" s="350">
        <f t="shared" si="151"/>
        <v>522430850.19</v>
      </c>
      <c r="N103" s="350">
        <f t="shared" si="156"/>
        <v>258313031.28999999</v>
      </c>
    </row>
    <row r="104" spans="1:14" x14ac:dyDescent="0.3">
      <c r="A104" s="346">
        <v>46174</v>
      </c>
      <c r="B104" s="347">
        <f t="shared" si="153"/>
        <v>522430850.19</v>
      </c>
      <c r="C104" s="347">
        <f t="shared" si="107"/>
        <v>0</v>
      </c>
      <c r="D104" s="347">
        <f t="shared" si="138"/>
        <v>522430850.19</v>
      </c>
      <c r="E104" s="347">
        <f t="shared" si="154"/>
        <v>2418661.34</v>
      </c>
      <c r="F104" s="348">
        <f t="shared" si="116"/>
        <v>20</v>
      </c>
      <c r="G104" s="349">
        <f t="shared" si="146"/>
        <v>483732.27</v>
      </c>
      <c r="H104" s="350">
        <f t="shared" si="147"/>
        <v>2902393.61</v>
      </c>
      <c r="I104" s="350">
        <v>0</v>
      </c>
      <c r="J104" s="303" t="str">
        <f t="shared" si="149"/>
        <v>-</v>
      </c>
      <c r="K104" s="350">
        <f t="shared" si="155"/>
        <v>522430850.19</v>
      </c>
      <c r="L104" s="350">
        <f t="shared" si="103"/>
        <v>0</v>
      </c>
      <c r="M104" s="350">
        <f t="shared" si="151"/>
        <v>522430850.19</v>
      </c>
      <c r="N104" s="350">
        <f t="shared" si="156"/>
        <v>258313031.28999999</v>
      </c>
    </row>
    <row r="105" spans="1:14" x14ac:dyDescent="0.3">
      <c r="A105" s="346">
        <v>46204</v>
      </c>
      <c r="B105" s="347">
        <f t="shared" si="153"/>
        <v>522430850.19</v>
      </c>
      <c r="C105" s="347">
        <f t="shared" si="107"/>
        <v>0</v>
      </c>
      <c r="D105" s="347">
        <f t="shared" si="138"/>
        <v>522430850.19</v>
      </c>
      <c r="E105" s="347">
        <f t="shared" si="154"/>
        <v>2418661.34</v>
      </c>
      <c r="F105" s="348">
        <f t="shared" si="116"/>
        <v>20</v>
      </c>
      <c r="G105" s="349">
        <f t="shared" si="146"/>
        <v>483732.27</v>
      </c>
      <c r="H105" s="350">
        <f t="shared" si="147"/>
        <v>2902393.61</v>
      </c>
      <c r="I105" s="350">
        <f t="shared" ref="I105" si="158">SUM(H102:H104)</f>
        <v>8707180.8300000001</v>
      </c>
      <c r="J105" s="303">
        <f t="shared" si="149"/>
        <v>46223</v>
      </c>
      <c r="K105" s="350">
        <f t="shared" si="155"/>
        <v>522430850.19</v>
      </c>
      <c r="L105" s="350">
        <f t="shared" si="103"/>
        <v>0</v>
      </c>
      <c r="M105" s="350">
        <f t="shared" si="151"/>
        <v>522430850.19</v>
      </c>
      <c r="N105" s="350">
        <f t="shared" si="156"/>
        <v>267020212.12</v>
      </c>
    </row>
    <row r="106" spans="1:14" x14ac:dyDescent="0.3">
      <c r="A106" s="346">
        <v>46235</v>
      </c>
      <c r="B106" s="347">
        <f t="shared" si="153"/>
        <v>522430850.19</v>
      </c>
      <c r="C106" s="347">
        <f t="shared" si="107"/>
        <v>0</v>
      </c>
      <c r="D106" s="347">
        <f t="shared" si="138"/>
        <v>522430850.19</v>
      </c>
      <c r="E106" s="347">
        <f t="shared" si="154"/>
        <v>2418661.34</v>
      </c>
      <c r="F106" s="348">
        <f t="shared" si="116"/>
        <v>20</v>
      </c>
      <c r="G106" s="349">
        <f t="shared" si="146"/>
        <v>483732.27</v>
      </c>
      <c r="H106" s="350">
        <f t="shared" si="147"/>
        <v>2902393.61</v>
      </c>
      <c r="I106" s="350">
        <v>0</v>
      </c>
      <c r="J106" s="303" t="str">
        <f t="shared" si="149"/>
        <v>-</v>
      </c>
      <c r="K106" s="350">
        <f t="shared" si="155"/>
        <v>522430850.19</v>
      </c>
      <c r="L106" s="350">
        <f t="shared" si="103"/>
        <v>0</v>
      </c>
      <c r="M106" s="350">
        <f t="shared" si="151"/>
        <v>522430850.19</v>
      </c>
      <c r="N106" s="350">
        <f t="shared" si="156"/>
        <v>267020212.12</v>
      </c>
    </row>
    <row r="107" spans="1:14" x14ac:dyDescent="0.3">
      <c r="A107" s="346">
        <v>46266</v>
      </c>
      <c r="B107" s="347">
        <f t="shared" si="153"/>
        <v>522430850.19</v>
      </c>
      <c r="C107" s="347">
        <f t="shared" si="107"/>
        <v>0</v>
      </c>
      <c r="D107" s="347">
        <f t="shared" si="138"/>
        <v>522430850.19</v>
      </c>
      <c r="E107" s="347">
        <f t="shared" si="154"/>
        <v>2418661.34</v>
      </c>
      <c r="F107" s="348">
        <f t="shared" si="116"/>
        <v>20</v>
      </c>
      <c r="G107" s="349">
        <f t="shared" si="146"/>
        <v>483732.27</v>
      </c>
      <c r="H107" s="350">
        <f t="shared" si="147"/>
        <v>2902393.61</v>
      </c>
      <c r="I107" s="350">
        <v>0</v>
      </c>
      <c r="J107" s="303" t="str">
        <f t="shared" si="149"/>
        <v>-</v>
      </c>
      <c r="K107" s="350">
        <f t="shared" si="155"/>
        <v>522430850.19</v>
      </c>
      <c r="L107" s="350">
        <f t="shared" si="103"/>
        <v>0</v>
      </c>
      <c r="M107" s="350">
        <f t="shared" si="151"/>
        <v>522430850.19</v>
      </c>
      <c r="N107" s="350">
        <f t="shared" si="156"/>
        <v>267020212.12</v>
      </c>
    </row>
    <row r="108" spans="1:14" x14ac:dyDescent="0.3">
      <c r="A108" s="346">
        <v>46296</v>
      </c>
      <c r="B108" s="347">
        <f t="shared" si="153"/>
        <v>522430850.19</v>
      </c>
      <c r="C108" s="347">
        <f t="shared" si="107"/>
        <v>0</v>
      </c>
      <c r="D108" s="347">
        <f t="shared" si="138"/>
        <v>522430850.19</v>
      </c>
      <c r="E108" s="347">
        <f t="shared" si="154"/>
        <v>2418661.34</v>
      </c>
      <c r="F108" s="348">
        <f t="shared" si="116"/>
        <v>20</v>
      </c>
      <c r="G108" s="349">
        <f t="shared" si="146"/>
        <v>483732.27</v>
      </c>
      <c r="H108" s="350">
        <f t="shared" si="147"/>
        <v>2902393.61</v>
      </c>
      <c r="I108" s="350">
        <f t="shared" ref="I108" si="159">SUM(H105:H107)</f>
        <v>8707180.8300000001</v>
      </c>
      <c r="J108" s="303">
        <f t="shared" si="149"/>
        <v>46315</v>
      </c>
      <c r="K108" s="350">
        <f t="shared" si="155"/>
        <v>522430850.19</v>
      </c>
      <c r="L108" s="350">
        <f t="shared" si="103"/>
        <v>0</v>
      </c>
      <c r="M108" s="350">
        <f t="shared" si="151"/>
        <v>522430850.19</v>
      </c>
      <c r="N108" s="350">
        <f t="shared" si="156"/>
        <v>275727392.94999999</v>
      </c>
    </row>
    <row r="109" spans="1:14" x14ac:dyDescent="0.3">
      <c r="A109" s="346">
        <v>46327</v>
      </c>
      <c r="B109" s="347">
        <f t="shared" si="153"/>
        <v>522430850.19</v>
      </c>
      <c r="C109" s="347">
        <f t="shared" si="107"/>
        <v>0</v>
      </c>
      <c r="D109" s="347">
        <f t="shared" si="138"/>
        <v>522430850.19</v>
      </c>
      <c r="E109" s="347">
        <f t="shared" si="154"/>
        <v>2418661.34</v>
      </c>
      <c r="F109" s="348">
        <f t="shared" si="116"/>
        <v>20</v>
      </c>
      <c r="G109" s="349">
        <f t="shared" si="146"/>
        <v>483732.27</v>
      </c>
      <c r="H109" s="350">
        <f t="shared" si="147"/>
        <v>2902393.61</v>
      </c>
      <c r="I109" s="350">
        <v>0</v>
      </c>
      <c r="J109" s="303" t="str">
        <f t="shared" si="149"/>
        <v>-</v>
      </c>
      <c r="K109" s="350">
        <f t="shared" si="155"/>
        <v>522430850.19</v>
      </c>
      <c r="L109" s="350">
        <f t="shared" si="103"/>
        <v>0</v>
      </c>
      <c r="M109" s="350">
        <f t="shared" si="151"/>
        <v>522430850.19</v>
      </c>
      <c r="N109" s="350">
        <f t="shared" si="156"/>
        <v>275727392.94999999</v>
      </c>
    </row>
    <row r="110" spans="1:14" ht="19.5" thickBot="1" x14ac:dyDescent="0.35">
      <c r="A110" s="335">
        <v>46357</v>
      </c>
      <c r="B110" s="336">
        <f t="shared" si="153"/>
        <v>522430850.19</v>
      </c>
      <c r="C110" s="336">
        <f t="shared" si="107"/>
        <v>0</v>
      </c>
      <c r="D110" s="336">
        <f t="shared" si="138"/>
        <v>522430850.19</v>
      </c>
      <c r="E110" s="336">
        <f t="shared" si="154"/>
        <v>2418661.34</v>
      </c>
      <c r="F110" s="337">
        <f t="shared" si="116"/>
        <v>20</v>
      </c>
      <c r="G110" s="338">
        <f t="shared" si="146"/>
        <v>483732.27</v>
      </c>
      <c r="H110" s="339">
        <f t="shared" si="147"/>
        <v>2902393.61</v>
      </c>
      <c r="I110" s="339">
        <v>0</v>
      </c>
      <c r="J110" s="290" t="str">
        <f t="shared" si="149"/>
        <v>-</v>
      </c>
      <c r="K110" s="339">
        <f t="shared" si="155"/>
        <v>522430850.19</v>
      </c>
      <c r="L110" s="339">
        <f t="shared" si="103"/>
        <v>0</v>
      </c>
      <c r="M110" s="339">
        <f t="shared" si="151"/>
        <v>522430850.19</v>
      </c>
      <c r="N110" s="339">
        <f t="shared" si="156"/>
        <v>275727392.94999999</v>
      </c>
    </row>
    <row r="111" spans="1:14" s="351" customFormat="1" ht="19.5" thickBot="1" x14ac:dyDescent="0.35">
      <c r="A111" s="340">
        <f>A98+1</f>
        <v>2026</v>
      </c>
      <c r="B111" s="341">
        <f t="shared" ref="B111" si="160">B99</f>
        <v>522430850.19</v>
      </c>
      <c r="C111" s="341">
        <f t="shared" si="107"/>
        <v>0</v>
      </c>
      <c r="D111" s="341">
        <f t="shared" si="138"/>
        <v>522430850.19</v>
      </c>
      <c r="E111" s="341">
        <f t="shared" ref="E111" si="161">SUM(E99:E110)</f>
        <v>29023936.079999998</v>
      </c>
      <c r="F111" s="342">
        <f t="shared" si="116"/>
        <v>20</v>
      </c>
      <c r="G111" s="343">
        <f t="shared" ref="G111:I111" si="162">SUM(G99:G110)</f>
        <v>5804787.2400000002</v>
      </c>
      <c r="H111" s="344">
        <f t="shared" si="162"/>
        <v>34828723.32</v>
      </c>
      <c r="I111" s="344">
        <f t="shared" si="162"/>
        <v>34828723.32</v>
      </c>
      <c r="J111" s="296"/>
      <c r="K111" s="344">
        <f t="shared" si="155"/>
        <v>522430850.19</v>
      </c>
      <c r="L111" s="344">
        <f t="shared" ref="L111" si="163">L110</f>
        <v>0</v>
      </c>
      <c r="M111" s="344">
        <f t="shared" ref="M111" si="164">M110</f>
        <v>522430850.19</v>
      </c>
      <c r="N111" s="344">
        <f t="shared" ref="N111" si="165">N110</f>
        <v>275727392.94999999</v>
      </c>
    </row>
    <row r="112" spans="1:14" x14ac:dyDescent="0.3">
      <c r="A112" s="330">
        <v>46388</v>
      </c>
      <c r="B112" s="331">
        <f t="shared" ref="B112" si="166">B110</f>
        <v>522430850.19</v>
      </c>
      <c r="C112" s="331">
        <f t="shared" si="107"/>
        <v>0</v>
      </c>
      <c r="D112" s="331">
        <f t="shared" si="138"/>
        <v>522430850.19</v>
      </c>
      <c r="E112" s="331">
        <f t="shared" ref="E112" si="167">E99</f>
        <v>2418661.34</v>
      </c>
      <c r="F112" s="332">
        <f t="shared" si="116"/>
        <v>20</v>
      </c>
      <c r="G112" s="333">
        <f t="shared" ref="G112:G123" si="168">E112*F112/100</f>
        <v>483732.27</v>
      </c>
      <c r="H112" s="334">
        <f t="shared" ref="H112:H123" si="169">G112+E112</f>
        <v>2902393.61</v>
      </c>
      <c r="I112" s="334">
        <f t="shared" ref="I112" si="170">SUM(H108:H110)</f>
        <v>8707180.8300000001</v>
      </c>
      <c r="J112" s="284">
        <f t="shared" ref="J112:J123" si="171">IF(I112=0,"-",A112+19)</f>
        <v>46407</v>
      </c>
      <c r="K112" s="334">
        <f t="shared" ref="K112" si="172">K110</f>
        <v>522430850.19</v>
      </c>
      <c r="L112" s="334">
        <f t="shared" si="103"/>
        <v>0</v>
      </c>
      <c r="M112" s="334">
        <f t="shared" ref="M112:M123" si="173">K112</f>
        <v>522430850.19</v>
      </c>
      <c r="N112" s="334">
        <f t="shared" ref="N112" si="174">N110+I112</f>
        <v>284434573.77999997</v>
      </c>
    </row>
    <row r="113" spans="1:14" x14ac:dyDescent="0.3">
      <c r="A113" s="346">
        <v>46419</v>
      </c>
      <c r="B113" s="347">
        <f t="shared" ref="B113:B123" si="175">B112</f>
        <v>522430850.19</v>
      </c>
      <c r="C113" s="347">
        <f t="shared" si="107"/>
        <v>0</v>
      </c>
      <c r="D113" s="347">
        <f t="shared" si="138"/>
        <v>522430850.19</v>
      </c>
      <c r="E113" s="347">
        <f t="shared" ref="E113:E123" si="176">E112</f>
        <v>2418661.34</v>
      </c>
      <c r="F113" s="348">
        <f t="shared" si="116"/>
        <v>20</v>
      </c>
      <c r="G113" s="349">
        <f t="shared" si="168"/>
        <v>483732.27</v>
      </c>
      <c r="H113" s="350">
        <f t="shared" si="169"/>
        <v>2902393.61</v>
      </c>
      <c r="I113" s="350">
        <v>0</v>
      </c>
      <c r="J113" s="303" t="str">
        <f t="shared" si="171"/>
        <v>-</v>
      </c>
      <c r="K113" s="350">
        <f t="shared" ref="K113:K124" si="177">K112</f>
        <v>522430850.19</v>
      </c>
      <c r="L113" s="350">
        <f t="shared" si="103"/>
        <v>0</v>
      </c>
      <c r="M113" s="350">
        <f t="shared" si="173"/>
        <v>522430850.19</v>
      </c>
      <c r="N113" s="350">
        <f t="shared" ref="N113" si="178">N112+I113</f>
        <v>284434573.77999997</v>
      </c>
    </row>
    <row r="114" spans="1:14" x14ac:dyDescent="0.3">
      <c r="A114" s="346">
        <v>46447</v>
      </c>
      <c r="B114" s="347">
        <f t="shared" si="175"/>
        <v>522430850.19</v>
      </c>
      <c r="C114" s="347">
        <f t="shared" si="107"/>
        <v>0</v>
      </c>
      <c r="D114" s="347">
        <f t="shared" si="138"/>
        <v>522430850.19</v>
      </c>
      <c r="E114" s="347">
        <f t="shared" si="176"/>
        <v>2418661.34</v>
      </c>
      <c r="F114" s="348">
        <f t="shared" si="116"/>
        <v>20</v>
      </c>
      <c r="G114" s="349">
        <f t="shared" si="168"/>
        <v>483732.27</v>
      </c>
      <c r="H114" s="350">
        <f t="shared" si="169"/>
        <v>2902393.61</v>
      </c>
      <c r="I114" s="350">
        <v>0</v>
      </c>
      <c r="J114" s="303" t="str">
        <f t="shared" si="171"/>
        <v>-</v>
      </c>
      <c r="K114" s="350">
        <f t="shared" si="177"/>
        <v>522430850.19</v>
      </c>
      <c r="L114" s="350">
        <f t="shared" si="103"/>
        <v>0</v>
      </c>
      <c r="M114" s="350">
        <f t="shared" si="173"/>
        <v>522430850.19</v>
      </c>
      <c r="N114" s="350">
        <f t="shared" si="156"/>
        <v>284434573.77999997</v>
      </c>
    </row>
    <row r="115" spans="1:14" x14ac:dyDescent="0.3">
      <c r="A115" s="346">
        <v>46478</v>
      </c>
      <c r="B115" s="347">
        <f t="shared" si="175"/>
        <v>522430850.19</v>
      </c>
      <c r="C115" s="347">
        <f t="shared" si="107"/>
        <v>0</v>
      </c>
      <c r="D115" s="347">
        <f t="shared" si="138"/>
        <v>522430850.19</v>
      </c>
      <c r="E115" s="347">
        <f t="shared" si="176"/>
        <v>2418661.34</v>
      </c>
      <c r="F115" s="348">
        <f t="shared" si="116"/>
        <v>20</v>
      </c>
      <c r="G115" s="349">
        <f t="shared" si="168"/>
        <v>483732.27</v>
      </c>
      <c r="H115" s="350">
        <f t="shared" si="169"/>
        <v>2902393.61</v>
      </c>
      <c r="I115" s="350">
        <f t="shared" ref="I115" si="179">SUM(H112:H114)</f>
        <v>8707180.8300000001</v>
      </c>
      <c r="J115" s="303">
        <f t="shared" si="171"/>
        <v>46497</v>
      </c>
      <c r="K115" s="350">
        <f t="shared" si="177"/>
        <v>522430850.19</v>
      </c>
      <c r="L115" s="350">
        <f t="shared" si="103"/>
        <v>0</v>
      </c>
      <c r="M115" s="350">
        <f t="shared" si="173"/>
        <v>522430850.19</v>
      </c>
      <c r="N115" s="350">
        <f t="shared" si="156"/>
        <v>293141754.61000001</v>
      </c>
    </row>
    <row r="116" spans="1:14" x14ac:dyDescent="0.3">
      <c r="A116" s="346">
        <v>46508</v>
      </c>
      <c r="B116" s="347">
        <f t="shared" si="175"/>
        <v>522430850.19</v>
      </c>
      <c r="C116" s="347">
        <f t="shared" si="107"/>
        <v>0</v>
      </c>
      <c r="D116" s="347">
        <f t="shared" si="138"/>
        <v>522430850.19</v>
      </c>
      <c r="E116" s="347">
        <f t="shared" si="176"/>
        <v>2418661.34</v>
      </c>
      <c r="F116" s="348">
        <f t="shared" si="116"/>
        <v>20</v>
      </c>
      <c r="G116" s="349">
        <f t="shared" si="168"/>
        <v>483732.27</v>
      </c>
      <c r="H116" s="350">
        <f t="shared" si="169"/>
        <v>2902393.61</v>
      </c>
      <c r="I116" s="350">
        <v>0</v>
      </c>
      <c r="J116" s="303" t="str">
        <f t="shared" si="171"/>
        <v>-</v>
      </c>
      <c r="K116" s="350">
        <f t="shared" si="177"/>
        <v>522430850.19</v>
      </c>
      <c r="L116" s="350">
        <f t="shared" si="103"/>
        <v>0</v>
      </c>
      <c r="M116" s="350">
        <f t="shared" si="173"/>
        <v>522430850.19</v>
      </c>
      <c r="N116" s="350">
        <f t="shared" si="156"/>
        <v>293141754.61000001</v>
      </c>
    </row>
    <row r="117" spans="1:14" x14ac:dyDescent="0.3">
      <c r="A117" s="346">
        <v>46539</v>
      </c>
      <c r="B117" s="347">
        <f t="shared" si="175"/>
        <v>522430850.19</v>
      </c>
      <c r="C117" s="347">
        <f t="shared" si="107"/>
        <v>0</v>
      </c>
      <c r="D117" s="347">
        <f t="shared" si="138"/>
        <v>522430850.19</v>
      </c>
      <c r="E117" s="347">
        <f t="shared" si="176"/>
        <v>2418661.34</v>
      </c>
      <c r="F117" s="348">
        <f t="shared" si="116"/>
        <v>20</v>
      </c>
      <c r="G117" s="349">
        <f t="shared" si="168"/>
        <v>483732.27</v>
      </c>
      <c r="H117" s="350">
        <f t="shared" si="169"/>
        <v>2902393.61</v>
      </c>
      <c r="I117" s="350">
        <v>0</v>
      </c>
      <c r="J117" s="303" t="str">
        <f t="shared" si="171"/>
        <v>-</v>
      </c>
      <c r="K117" s="350">
        <f t="shared" si="177"/>
        <v>522430850.19</v>
      </c>
      <c r="L117" s="350">
        <f t="shared" si="103"/>
        <v>0</v>
      </c>
      <c r="M117" s="350">
        <f t="shared" si="173"/>
        <v>522430850.19</v>
      </c>
      <c r="N117" s="350">
        <f t="shared" si="156"/>
        <v>293141754.61000001</v>
      </c>
    </row>
    <row r="118" spans="1:14" x14ac:dyDescent="0.3">
      <c r="A118" s="346">
        <v>46569</v>
      </c>
      <c r="B118" s="347">
        <f t="shared" si="175"/>
        <v>522430850.19</v>
      </c>
      <c r="C118" s="347">
        <f t="shared" si="107"/>
        <v>0</v>
      </c>
      <c r="D118" s="347">
        <f t="shared" si="138"/>
        <v>522430850.19</v>
      </c>
      <c r="E118" s="347">
        <f t="shared" si="176"/>
        <v>2418661.34</v>
      </c>
      <c r="F118" s="348">
        <f t="shared" si="116"/>
        <v>20</v>
      </c>
      <c r="G118" s="349">
        <f t="shared" si="168"/>
        <v>483732.27</v>
      </c>
      <c r="H118" s="350">
        <f t="shared" si="169"/>
        <v>2902393.61</v>
      </c>
      <c r="I118" s="350">
        <f t="shared" ref="I118" si="180">SUM(H115:H117)</f>
        <v>8707180.8300000001</v>
      </c>
      <c r="J118" s="303">
        <f t="shared" si="171"/>
        <v>46588</v>
      </c>
      <c r="K118" s="350">
        <f t="shared" si="177"/>
        <v>522430850.19</v>
      </c>
      <c r="L118" s="350">
        <f t="shared" si="103"/>
        <v>0</v>
      </c>
      <c r="M118" s="350">
        <f t="shared" si="173"/>
        <v>522430850.19</v>
      </c>
      <c r="N118" s="350">
        <f t="shared" si="156"/>
        <v>301848935.44</v>
      </c>
    </row>
    <row r="119" spans="1:14" x14ac:dyDescent="0.3">
      <c r="A119" s="346">
        <v>46600</v>
      </c>
      <c r="B119" s="347">
        <f t="shared" si="175"/>
        <v>522430850.19</v>
      </c>
      <c r="C119" s="347">
        <f t="shared" si="107"/>
        <v>0</v>
      </c>
      <c r="D119" s="347">
        <f t="shared" si="138"/>
        <v>522430850.19</v>
      </c>
      <c r="E119" s="347">
        <f t="shared" si="176"/>
        <v>2418661.34</v>
      </c>
      <c r="F119" s="348">
        <f t="shared" si="116"/>
        <v>20</v>
      </c>
      <c r="G119" s="349">
        <f t="shared" si="168"/>
        <v>483732.27</v>
      </c>
      <c r="H119" s="350">
        <f t="shared" si="169"/>
        <v>2902393.61</v>
      </c>
      <c r="I119" s="350">
        <v>0</v>
      </c>
      <c r="J119" s="303" t="str">
        <f t="shared" si="171"/>
        <v>-</v>
      </c>
      <c r="K119" s="350">
        <f t="shared" si="177"/>
        <v>522430850.19</v>
      </c>
      <c r="L119" s="350">
        <f t="shared" si="103"/>
        <v>0</v>
      </c>
      <c r="M119" s="350">
        <f t="shared" si="173"/>
        <v>522430850.19</v>
      </c>
      <c r="N119" s="350">
        <f t="shared" si="156"/>
        <v>301848935.44</v>
      </c>
    </row>
    <row r="120" spans="1:14" x14ac:dyDescent="0.3">
      <c r="A120" s="346">
        <v>46631</v>
      </c>
      <c r="B120" s="347">
        <f t="shared" si="175"/>
        <v>522430850.19</v>
      </c>
      <c r="C120" s="347">
        <f t="shared" si="107"/>
        <v>0</v>
      </c>
      <c r="D120" s="347">
        <f t="shared" si="138"/>
        <v>522430850.19</v>
      </c>
      <c r="E120" s="347">
        <f t="shared" si="176"/>
        <v>2418661.34</v>
      </c>
      <c r="F120" s="348">
        <f t="shared" si="116"/>
        <v>20</v>
      </c>
      <c r="G120" s="349">
        <f t="shared" si="168"/>
        <v>483732.27</v>
      </c>
      <c r="H120" s="350">
        <f t="shared" si="169"/>
        <v>2902393.61</v>
      </c>
      <c r="I120" s="350">
        <v>0</v>
      </c>
      <c r="J120" s="303" t="str">
        <f t="shared" si="171"/>
        <v>-</v>
      </c>
      <c r="K120" s="350">
        <f t="shared" si="177"/>
        <v>522430850.19</v>
      </c>
      <c r="L120" s="350">
        <f t="shared" si="103"/>
        <v>0</v>
      </c>
      <c r="M120" s="350">
        <f t="shared" si="173"/>
        <v>522430850.19</v>
      </c>
      <c r="N120" s="350">
        <f t="shared" si="156"/>
        <v>301848935.44</v>
      </c>
    </row>
    <row r="121" spans="1:14" x14ac:dyDescent="0.3">
      <c r="A121" s="346">
        <v>46661</v>
      </c>
      <c r="B121" s="347">
        <f t="shared" si="175"/>
        <v>522430850.19</v>
      </c>
      <c r="C121" s="347">
        <f t="shared" si="107"/>
        <v>0</v>
      </c>
      <c r="D121" s="347">
        <f t="shared" si="138"/>
        <v>522430850.19</v>
      </c>
      <c r="E121" s="347">
        <f t="shared" si="176"/>
        <v>2418661.34</v>
      </c>
      <c r="F121" s="348">
        <f t="shared" si="116"/>
        <v>20</v>
      </c>
      <c r="G121" s="349">
        <f t="shared" si="168"/>
        <v>483732.27</v>
      </c>
      <c r="H121" s="350">
        <f t="shared" si="169"/>
        <v>2902393.61</v>
      </c>
      <c r="I121" s="350">
        <f t="shared" ref="I121" si="181">SUM(H118:H120)</f>
        <v>8707180.8300000001</v>
      </c>
      <c r="J121" s="303">
        <f t="shared" si="171"/>
        <v>46680</v>
      </c>
      <c r="K121" s="350">
        <f t="shared" si="177"/>
        <v>522430850.19</v>
      </c>
      <c r="L121" s="350">
        <f t="shared" si="103"/>
        <v>0</v>
      </c>
      <c r="M121" s="350">
        <f t="shared" si="173"/>
        <v>522430850.19</v>
      </c>
      <c r="N121" s="350">
        <f t="shared" si="156"/>
        <v>310556116.26999998</v>
      </c>
    </row>
    <row r="122" spans="1:14" x14ac:dyDescent="0.3">
      <c r="A122" s="346">
        <v>46692</v>
      </c>
      <c r="B122" s="347">
        <f t="shared" si="175"/>
        <v>522430850.19</v>
      </c>
      <c r="C122" s="347">
        <f t="shared" si="107"/>
        <v>0</v>
      </c>
      <c r="D122" s="347">
        <f t="shared" si="138"/>
        <v>522430850.19</v>
      </c>
      <c r="E122" s="347">
        <f t="shared" si="176"/>
        <v>2418661.34</v>
      </c>
      <c r="F122" s="348">
        <f t="shared" si="116"/>
        <v>20</v>
      </c>
      <c r="G122" s="349">
        <f t="shared" si="168"/>
        <v>483732.27</v>
      </c>
      <c r="H122" s="350">
        <f t="shared" si="169"/>
        <v>2902393.61</v>
      </c>
      <c r="I122" s="350">
        <v>0</v>
      </c>
      <c r="J122" s="303" t="str">
        <f t="shared" si="171"/>
        <v>-</v>
      </c>
      <c r="K122" s="350">
        <f t="shared" si="177"/>
        <v>522430850.19</v>
      </c>
      <c r="L122" s="350">
        <f t="shared" si="103"/>
        <v>0</v>
      </c>
      <c r="M122" s="350">
        <f t="shared" si="173"/>
        <v>522430850.19</v>
      </c>
      <c r="N122" s="350">
        <f t="shared" si="156"/>
        <v>310556116.26999998</v>
      </c>
    </row>
    <row r="123" spans="1:14" ht="19.5" thickBot="1" x14ac:dyDescent="0.35">
      <c r="A123" s="335">
        <v>46722</v>
      </c>
      <c r="B123" s="336">
        <f t="shared" si="175"/>
        <v>522430850.19</v>
      </c>
      <c r="C123" s="336">
        <f t="shared" si="107"/>
        <v>0</v>
      </c>
      <c r="D123" s="336">
        <f t="shared" si="138"/>
        <v>522430850.19</v>
      </c>
      <c r="E123" s="336">
        <f t="shared" si="176"/>
        <v>2418661.34</v>
      </c>
      <c r="F123" s="337">
        <f t="shared" si="116"/>
        <v>20</v>
      </c>
      <c r="G123" s="338">
        <f t="shared" si="168"/>
        <v>483732.27</v>
      </c>
      <c r="H123" s="339">
        <f t="shared" si="169"/>
        <v>2902393.61</v>
      </c>
      <c r="I123" s="339">
        <v>0</v>
      </c>
      <c r="J123" s="290" t="str">
        <f t="shared" si="171"/>
        <v>-</v>
      </c>
      <c r="K123" s="339">
        <f t="shared" si="177"/>
        <v>522430850.19</v>
      </c>
      <c r="L123" s="339">
        <f t="shared" si="103"/>
        <v>0</v>
      </c>
      <c r="M123" s="339">
        <f t="shared" si="173"/>
        <v>522430850.19</v>
      </c>
      <c r="N123" s="339">
        <f t="shared" si="156"/>
        <v>310556116.26999998</v>
      </c>
    </row>
    <row r="124" spans="1:14" s="351" customFormat="1" ht="19.5" thickBot="1" x14ac:dyDescent="0.35">
      <c r="A124" s="340">
        <f>A111+1</f>
        <v>2027</v>
      </c>
      <c r="B124" s="341">
        <f t="shared" ref="B124" si="182">B112</f>
        <v>522430850.19</v>
      </c>
      <c r="C124" s="341">
        <f t="shared" si="107"/>
        <v>0</v>
      </c>
      <c r="D124" s="341">
        <f t="shared" si="138"/>
        <v>522430850.19</v>
      </c>
      <c r="E124" s="341">
        <f t="shared" ref="E124" si="183">SUM(E112:E123)</f>
        <v>29023936.079999998</v>
      </c>
      <c r="F124" s="342">
        <f t="shared" si="116"/>
        <v>20</v>
      </c>
      <c r="G124" s="343">
        <f t="shared" ref="G124:I124" si="184">SUM(G112:G123)</f>
        <v>5804787.2400000002</v>
      </c>
      <c r="H124" s="344">
        <f t="shared" si="184"/>
        <v>34828723.32</v>
      </c>
      <c r="I124" s="344">
        <f t="shared" si="184"/>
        <v>34828723.32</v>
      </c>
      <c r="J124" s="296"/>
      <c r="K124" s="344">
        <f t="shared" si="177"/>
        <v>522430850.19</v>
      </c>
      <c r="L124" s="344">
        <f t="shared" ref="L124" si="185">L123</f>
        <v>0</v>
      </c>
      <c r="M124" s="344">
        <f t="shared" ref="M124" si="186">M123</f>
        <v>522430850.19</v>
      </c>
      <c r="N124" s="344">
        <f t="shared" ref="N124" si="187">N123</f>
        <v>310556116.26999998</v>
      </c>
    </row>
    <row r="125" spans="1:14" x14ac:dyDescent="0.3">
      <c r="A125" s="330">
        <v>46753</v>
      </c>
      <c r="B125" s="331">
        <f t="shared" ref="B125" si="188">B123</f>
        <v>522430850.19</v>
      </c>
      <c r="C125" s="331">
        <f t="shared" si="107"/>
        <v>0</v>
      </c>
      <c r="D125" s="331">
        <f t="shared" si="138"/>
        <v>522430850.19</v>
      </c>
      <c r="E125" s="331">
        <f t="shared" ref="E125" si="189">E112</f>
        <v>2418661.34</v>
      </c>
      <c r="F125" s="332">
        <f t="shared" si="116"/>
        <v>20</v>
      </c>
      <c r="G125" s="333">
        <f t="shared" ref="G125:G136" si="190">E125*F125/100</f>
        <v>483732.27</v>
      </c>
      <c r="H125" s="334">
        <f t="shared" ref="H125:H136" si="191">G125+E125</f>
        <v>2902393.61</v>
      </c>
      <c r="I125" s="334">
        <f t="shared" ref="I125" si="192">SUM(H121:H123)</f>
        <v>8707180.8300000001</v>
      </c>
      <c r="J125" s="284">
        <f t="shared" ref="J125:J136" si="193">IF(I125=0,"-",A125+19)</f>
        <v>46772</v>
      </c>
      <c r="K125" s="334">
        <f t="shared" ref="K125" si="194">K123</f>
        <v>522430850.19</v>
      </c>
      <c r="L125" s="334">
        <f t="shared" si="103"/>
        <v>0</v>
      </c>
      <c r="M125" s="334">
        <f t="shared" ref="M125:M136" si="195">K125</f>
        <v>522430850.19</v>
      </c>
      <c r="N125" s="334">
        <f t="shared" ref="N125" si="196">N123+I125</f>
        <v>319263297.10000002</v>
      </c>
    </row>
    <row r="126" spans="1:14" x14ac:dyDescent="0.3">
      <c r="A126" s="346">
        <v>46784</v>
      </c>
      <c r="B126" s="347">
        <f t="shared" ref="B126:B136" si="197">B125</f>
        <v>522430850.19</v>
      </c>
      <c r="C126" s="347">
        <f t="shared" si="107"/>
        <v>0</v>
      </c>
      <c r="D126" s="347">
        <f t="shared" si="138"/>
        <v>522430850.19</v>
      </c>
      <c r="E126" s="347">
        <f t="shared" ref="E126:E136" si="198">E125</f>
        <v>2418661.34</v>
      </c>
      <c r="F126" s="348">
        <f t="shared" si="116"/>
        <v>20</v>
      </c>
      <c r="G126" s="349">
        <f t="shared" si="190"/>
        <v>483732.27</v>
      </c>
      <c r="H126" s="350">
        <f t="shared" si="191"/>
        <v>2902393.61</v>
      </c>
      <c r="I126" s="350">
        <v>0</v>
      </c>
      <c r="J126" s="303" t="str">
        <f t="shared" si="193"/>
        <v>-</v>
      </c>
      <c r="K126" s="350">
        <f t="shared" ref="K126:K137" si="199">K125</f>
        <v>522430850.19</v>
      </c>
      <c r="L126" s="350">
        <f t="shared" si="103"/>
        <v>0</v>
      </c>
      <c r="M126" s="350">
        <f t="shared" si="195"/>
        <v>522430850.19</v>
      </c>
      <c r="N126" s="350">
        <f t="shared" ref="N126" si="200">N125+I126</f>
        <v>319263297.10000002</v>
      </c>
    </row>
    <row r="127" spans="1:14" x14ac:dyDescent="0.3">
      <c r="A127" s="346">
        <v>46813</v>
      </c>
      <c r="B127" s="347">
        <f t="shared" si="197"/>
        <v>522430850.19</v>
      </c>
      <c r="C127" s="347">
        <f t="shared" si="107"/>
        <v>0</v>
      </c>
      <c r="D127" s="347">
        <f t="shared" si="138"/>
        <v>522430850.19</v>
      </c>
      <c r="E127" s="347">
        <f t="shared" si="198"/>
        <v>2418661.34</v>
      </c>
      <c r="F127" s="348">
        <f t="shared" si="116"/>
        <v>20</v>
      </c>
      <c r="G127" s="349">
        <f t="shared" si="190"/>
        <v>483732.27</v>
      </c>
      <c r="H127" s="350">
        <f t="shared" si="191"/>
        <v>2902393.61</v>
      </c>
      <c r="I127" s="350">
        <v>0</v>
      </c>
      <c r="J127" s="303" t="str">
        <f t="shared" si="193"/>
        <v>-</v>
      </c>
      <c r="K127" s="350">
        <f t="shared" si="199"/>
        <v>522430850.19</v>
      </c>
      <c r="L127" s="350">
        <f t="shared" si="103"/>
        <v>0</v>
      </c>
      <c r="M127" s="350">
        <f t="shared" si="195"/>
        <v>522430850.19</v>
      </c>
      <c r="N127" s="350">
        <f t="shared" si="156"/>
        <v>319263297.10000002</v>
      </c>
    </row>
    <row r="128" spans="1:14" x14ac:dyDescent="0.3">
      <c r="A128" s="346">
        <v>46844</v>
      </c>
      <c r="B128" s="347">
        <f t="shared" si="197"/>
        <v>522430850.19</v>
      </c>
      <c r="C128" s="347">
        <f t="shared" si="107"/>
        <v>0</v>
      </c>
      <c r="D128" s="347">
        <f t="shared" si="138"/>
        <v>522430850.19</v>
      </c>
      <c r="E128" s="347">
        <f t="shared" si="198"/>
        <v>2418661.34</v>
      </c>
      <c r="F128" s="348">
        <f t="shared" si="116"/>
        <v>20</v>
      </c>
      <c r="G128" s="349">
        <f t="shared" si="190"/>
        <v>483732.27</v>
      </c>
      <c r="H128" s="350">
        <f t="shared" si="191"/>
        <v>2902393.61</v>
      </c>
      <c r="I128" s="350">
        <f t="shared" ref="I128" si="201">SUM(H125:H127)</f>
        <v>8707180.8300000001</v>
      </c>
      <c r="J128" s="303">
        <f t="shared" si="193"/>
        <v>46863</v>
      </c>
      <c r="K128" s="350">
        <f t="shared" si="199"/>
        <v>522430850.19</v>
      </c>
      <c r="L128" s="350">
        <f t="shared" si="103"/>
        <v>0</v>
      </c>
      <c r="M128" s="350">
        <f t="shared" si="195"/>
        <v>522430850.19</v>
      </c>
      <c r="N128" s="350">
        <f t="shared" si="156"/>
        <v>327970477.93000001</v>
      </c>
    </row>
    <row r="129" spans="1:14" x14ac:dyDescent="0.3">
      <c r="A129" s="346">
        <v>46874</v>
      </c>
      <c r="B129" s="347">
        <f t="shared" si="197"/>
        <v>522430850.19</v>
      </c>
      <c r="C129" s="347">
        <f t="shared" si="107"/>
        <v>0</v>
      </c>
      <c r="D129" s="347">
        <f t="shared" si="138"/>
        <v>522430850.19</v>
      </c>
      <c r="E129" s="347">
        <f t="shared" si="198"/>
        <v>2418661.34</v>
      </c>
      <c r="F129" s="348">
        <f t="shared" si="116"/>
        <v>20</v>
      </c>
      <c r="G129" s="349">
        <f t="shared" si="190"/>
        <v>483732.27</v>
      </c>
      <c r="H129" s="350">
        <f t="shared" si="191"/>
        <v>2902393.61</v>
      </c>
      <c r="I129" s="350">
        <v>0</v>
      </c>
      <c r="J129" s="303" t="str">
        <f t="shared" si="193"/>
        <v>-</v>
      </c>
      <c r="K129" s="350">
        <f t="shared" si="199"/>
        <v>522430850.19</v>
      </c>
      <c r="L129" s="350">
        <f t="shared" si="103"/>
        <v>0</v>
      </c>
      <c r="M129" s="350">
        <f t="shared" si="195"/>
        <v>522430850.19</v>
      </c>
      <c r="N129" s="350">
        <f t="shared" si="156"/>
        <v>327970477.93000001</v>
      </c>
    </row>
    <row r="130" spans="1:14" x14ac:dyDescent="0.3">
      <c r="A130" s="346">
        <v>46905</v>
      </c>
      <c r="B130" s="347">
        <f t="shared" si="197"/>
        <v>522430850.19</v>
      </c>
      <c r="C130" s="347">
        <f t="shared" si="107"/>
        <v>0</v>
      </c>
      <c r="D130" s="347">
        <f t="shared" si="138"/>
        <v>522430850.19</v>
      </c>
      <c r="E130" s="347">
        <f t="shared" si="198"/>
        <v>2418661.34</v>
      </c>
      <c r="F130" s="348">
        <f t="shared" si="116"/>
        <v>20</v>
      </c>
      <c r="G130" s="349">
        <f t="shared" si="190"/>
        <v>483732.27</v>
      </c>
      <c r="H130" s="350">
        <f t="shared" si="191"/>
        <v>2902393.61</v>
      </c>
      <c r="I130" s="350">
        <v>0</v>
      </c>
      <c r="J130" s="303" t="str">
        <f t="shared" si="193"/>
        <v>-</v>
      </c>
      <c r="K130" s="350">
        <f t="shared" si="199"/>
        <v>522430850.19</v>
      </c>
      <c r="L130" s="350">
        <f t="shared" si="103"/>
        <v>0</v>
      </c>
      <c r="M130" s="350">
        <f t="shared" si="195"/>
        <v>522430850.19</v>
      </c>
      <c r="N130" s="350">
        <f t="shared" si="156"/>
        <v>327970477.93000001</v>
      </c>
    </row>
    <row r="131" spans="1:14" x14ac:dyDescent="0.3">
      <c r="A131" s="346">
        <v>46935</v>
      </c>
      <c r="B131" s="347">
        <f t="shared" si="197"/>
        <v>522430850.19</v>
      </c>
      <c r="C131" s="347">
        <f t="shared" si="107"/>
        <v>0</v>
      </c>
      <c r="D131" s="347">
        <f t="shared" si="138"/>
        <v>522430850.19</v>
      </c>
      <c r="E131" s="347">
        <f t="shared" si="198"/>
        <v>2418661.34</v>
      </c>
      <c r="F131" s="348">
        <f t="shared" si="116"/>
        <v>20</v>
      </c>
      <c r="G131" s="349">
        <f t="shared" si="190"/>
        <v>483732.27</v>
      </c>
      <c r="H131" s="350">
        <f t="shared" si="191"/>
        <v>2902393.61</v>
      </c>
      <c r="I131" s="350">
        <f t="shared" ref="I131" si="202">SUM(H128:H130)</f>
        <v>8707180.8300000001</v>
      </c>
      <c r="J131" s="303">
        <f t="shared" si="193"/>
        <v>46954</v>
      </c>
      <c r="K131" s="350">
        <f t="shared" si="199"/>
        <v>522430850.19</v>
      </c>
      <c r="L131" s="350">
        <f t="shared" si="103"/>
        <v>0</v>
      </c>
      <c r="M131" s="350">
        <f t="shared" si="195"/>
        <v>522430850.19</v>
      </c>
      <c r="N131" s="350">
        <f t="shared" si="156"/>
        <v>336677658.75999999</v>
      </c>
    </row>
    <row r="132" spans="1:14" x14ac:dyDescent="0.3">
      <c r="A132" s="346">
        <v>46966</v>
      </c>
      <c r="B132" s="347">
        <f t="shared" si="197"/>
        <v>522430850.19</v>
      </c>
      <c r="C132" s="347">
        <f t="shared" si="107"/>
        <v>0</v>
      </c>
      <c r="D132" s="347">
        <f t="shared" si="138"/>
        <v>522430850.19</v>
      </c>
      <c r="E132" s="347">
        <f t="shared" si="198"/>
        <v>2418661.34</v>
      </c>
      <c r="F132" s="348">
        <f t="shared" si="116"/>
        <v>20</v>
      </c>
      <c r="G132" s="349">
        <f t="shared" si="190"/>
        <v>483732.27</v>
      </c>
      <c r="H132" s="350">
        <f t="shared" si="191"/>
        <v>2902393.61</v>
      </c>
      <c r="I132" s="350">
        <v>0</v>
      </c>
      <c r="J132" s="303" t="str">
        <f t="shared" si="193"/>
        <v>-</v>
      </c>
      <c r="K132" s="350">
        <f t="shared" si="199"/>
        <v>522430850.19</v>
      </c>
      <c r="L132" s="350">
        <f t="shared" si="103"/>
        <v>0</v>
      </c>
      <c r="M132" s="350">
        <f t="shared" si="195"/>
        <v>522430850.19</v>
      </c>
      <c r="N132" s="350">
        <f t="shared" si="156"/>
        <v>336677658.75999999</v>
      </c>
    </row>
    <row r="133" spans="1:14" x14ac:dyDescent="0.3">
      <c r="A133" s="346">
        <v>46997</v>
      </c>
      <c r="B133" s="347">
        <f t="shared" si="197"/>
        <v>522430850.19</v>
      </c>
      <c r="C133" s="347">
        <f t="shared" si="107"/>
        <v>0</v>
      </c>
      <c r="D133" s="347">
        <f t="shared" si="138"/>
        <v>522430850.19</v>
      </c>
      <c r="E133" s="347">
        <f t="shared" si="198"/>
        <v>2418661.34</v>
      </c>
      <c r="F133" s="348">
        <f t="shared" si="116"/>
        <v>20</v>
      </c>
      <c r="G133" s="349">
        <f t="shared" si="190"/>
        <v>483732.27</v>
      </c>
      <c r="H133" s="350">
        <f t="shared" si="191"/>
        <v>2902393.61</v>
      </c>
      <c r="I133" s="350">
        <v>0</v>
      </c>
      <c r="J133" s="303" t="str">
        <f t="shared" si="193"/>
        <v>-</v>
      </c>
      <c r="K133" s="350">
        <f t="shared" si="199"/>
        <v>522430850.19</v>
      </c>
      <c r="L133" s="350">
        <f t="shared" si="103"/>
        <v>0</v>
      </c>
      <c r="M133" s="350">
        <f t="shared" si="195"/>
        <v>522430850.19</v>
      </c>
      <c r="N133" s="350">
        <f t="shared" si="156"/>
        <v>336677658.75999999</v>
      </c>
    </row>
    <row r="134" spans="1:14" x14ac:dyDescent="0.3">
      <c r="A134" s="346">
        <v>47027</v>
      </c>
      <c r="B134" s="347">
        <f t="shared" si="197"/>
        <v>522430850.19</v>
      </c>
      <c r="C134" s="347">
        <f t="shared" si="107"/>
        <v>0</v>
      </c>
      <c r="D134" s="347">
        <f t="shared" si="138"/>
        <v>522430850.19</v>
      </c>
      <c r="E134" s="347">
        <f t="shared" si="198"/>
        <v>2418661.34</v>
      </c>
      <c r="F134" s="348">
        <f t="shared" si="116"/>
        <v>20</v>
      </c>
      <c r="G134" s="349">
        <f t="shared" si="190"/>
        <v>483732.27</v>
      </c>
      <c r="H134" s="350">
        <f t="shared" si="191"/>
        <v>2902393.61</v>
      </c>
      <c r="I134" s="350">
        <f t="shared" ref="I134" si="203">SUM(H131:H133)</f>
        <v>8707180.8300000001</v>
      </c>
      <c r="J134" s="303">
        <f t="shared" si="193"/>
        <v>47046</v>
      </c>
      <c r="K134" s="350">
        <f t="shared" si="199"/>
        <v>522430850.19</v>
      </c>
      <c r="L134" s="350">
        <f t="shared" si="103"/>
        <v>0</v>
      </c>
      <c r="M134" s="350">
        <f t="shared" si="195"/>
        <v>522430850.19</v>
      </c>
      <c r="N134" s="350">
        <f t="shared" si="156"/>
        <v>345384839.58999997</v>
      </c>
    </row>
    <row r="135" spans="1:14" x14ac:dyDescent="0.3">
      <c r="A135" s="346">
        <v>47058</v>
      </c>
      <c r="B135" s="347">
        <f t="shared" si="197"/>
        <v>522430850.19</v>
      </c>
      <c r="C135" s="347">
        <f t="shared" si="107"/>
        <v>0</v>
      </c>
      <c r="D135" s="347">
        <f t="shared" si="138"/>
        <v>522430850.19</v>
      </c>
      <c r="E135" s="347">
        <f t="shared" si="198"/>
        <v>2418661.34</v>
      </c>
      <c r="F135" s="348">
        <f t="shared" si="116"/>
        <v>20</v>
      </c>
      <c r="G135" s="349">
        <f t="shared" si="190"/>
        <v>483732.27</v>
      </c>
      <c r="H135" s="350">
        <f t="shared" si="191"/>
        <v>2902393.61</v>
      </c>
      <c r="I135" s="350">
        <v>0</v>
      </c>
      <c r="J135" s="303" t="str">
        <f t="shared" si="193"/>
        <v>-</v>
      </c>
      <c r="K135" s="350">
        <f t="shared" si="199"/>
        <v>522430850.19</v>
      </c>
      <c r="L135" s="350">
        <f t="shared" si="103"/>
        <v>0</v>
      </c>
      <c r="M135" s="350">
        <f t="shared" si="195"/>
        <v>522430850.19</v>
      </c>
      <c r="N135" s="350">
        <f t="shared" si="156"/>
        <v>345384839.58999997</v>
      </c>
    </row>
    <row r="136" spans="1:14" ht="19.5" thickBot="1" x14ac:dyDescent="0.35">
      <c r="A136" s="335">
        <v>47088</v>
      </c>
      <c r="B136" s="336">
        <f t="shared" si="197"/>
        <v>522430850.19</v>
      </c>
      <c r="C136" s="336">
        <f t="shared" si="107"/>
        <v>0</v>
      </c>
      <c r="D136" s="336">
        <f t="shared" si="138"/>
        <v>522430850.19</v>
      </c>
      <c r="E136" s="336">
        <f t="shared" si="198"/>
        <v>2418661.34</v>
      </c>
      <c r="F136" s="337">
        <f t="shared" si="116"/>
        <v>20</v>
      </c>
      <c r="G136" s="338">
        <f t="shared" si="190"/>
        <v>483732.27</v>
      </c>
      <c r="H136" s="339">
        <f t="shared" si="191"/>
        <v>2902393.61</v>
      </c>
      <c r="I136" s="339">
        <v>0</v>
      </c>
      <c r="J136" s="290" t="str">
        <f t="shared" si="193"/>
        <v>-</v>
      </c>
      <c r="K136" s="339">
        <f t="shared" si="199"/>
        <v>522430850.19</v>
      </c>
      <c r="L136" s="339">
        <f t="shared" si="103"/>
        <v>0</v>
      </c>
      <c r="M136" s="339">
        <f t="shared" si="195"/>
        <v>522430850.19</v>
      </c>
      <c r="N136" s="339">
        <f t="shared" si="156"/>
        <v>345384839.58999997</v>
      </c>
    </row>
    <row r="137" spans="1:14" s="351" customFormat="1" ht="19.5" thickBot="1" x14ac:dyDescent="0.35">
      <c r="A137" s="340">
        <f>A124+1</f>
        <v>2028</v>
      </c>
      <c r="B137" s="341">
        <f t="shared" ref="B137" si="204">B125</f>
        <v>522430850.19</v>
      </c>
      <c r="C137" s="341">
        <f t="shared" si="107"/>
        <v>0</v>
      </c>
      <c r="D137" s="341">
        <f t="shared" si="138"/>
        <v>522430850.19</v>
      </c>
      <c r="E137" s="341">
        <f t="shared" ref="E137" si="205">SUM(E125:E136)</f>
        <v>29023936.079999998</v>
      </c>
      <c r="F137" s="342">
        <f t="shared" si="116"/>
        <v>20</v>
      </c>
      <c r="G137" s="343">
        <f t="shared" ref="G137:I137" si="206">SUM(G125:G136)</f>
        <v>5804787.2400000002</v>
      </c>
      <c r="H137" s="344">
        <f t="shared" si="206"/>
        <v>34828723.32</v>
      </c>
      <c r="I137" s="344">
        <f t="shared" si="206"/>
        <v>34828723.32</v>
      </c>
      <c r="J137" s="296"/>
      <c r="K137" s="344">
        <f t="shared" si="199"/>
        <v>522430850.19</v>
      </c>
      <c r="L137" s="344">
        <f t="shared" ref="L137" si="207">L136</f>
        <v>0</v>
      </c>
      <c r="M137" s="344">
        <f t="shared" ref="M137" si="208">M136</f>
        <v>522430850.19</v>
      </c>
      <c r="N137" s="344">
        <f t="shared" ref="N137" si="209">N136</f>
        <v>345384839.58999997</v>
      </c>
    </row>
    <row r="138" spans="1:14" x14ac:dyDescent="0.3">
      <c r="A138" s="330">
        <v>47119</v>
      </c>
      <c r="B138" s="331">
        <f t="shared" ref="B138" si="210">B136</f>
        <v>522430850.19</v>
      </c>
      <c r="C138" s="331">
        <f t="shared" ref="C138:C202" si="211">B138-D138</f>
        <v>0</v>
      </c>
      <c r="D138" s="331">
        <f t="shared" si="138"/>
        <v>522430850.19</v>
      </c>
      <c r="E138" s="331">
        <f t="shared" ref="E138" si="212">E125</f>
        <v>2418661.34</v>
      </c>
      <c r="F138" s="332">
        <f t="shared" si="116"/>
        <v>20</v>
      </c>
      <c r="G138" s="333">
        <f t="shared" ref="G138:G149" si="213">E138*F138/100</f>
        <v>483732.27</v>
      </c>
      <c r="H138" s="334">
        <f t="shared" ref="H138:H149" si="214">G138+E138</f>
        <v>2902393.61</v>
      </c>
      <c r="I138" s="334">
        <f t="shared" ref="I138" si="215">SUM(H134:H136)</f>
        <v>8707180.8300000001</v>
      </c>
      <c r="J138" s="284">
        <f t="shared" ref="J138:J149" si="216">IF(I138=0,"-",A138+19)</f>
        <v>47138</v>
      </c>
      <c r="K138" s="334">
        <f t="shared" ref="K138" si="217">K136</f>
        <v>522430850.19</v>
      </c>
      <c r="L138" s="334">
        <f t="shared" ref="L138:L201" si="218">K138-M138</f>
        <v>0</v>
      </c>
      <c r="M138" s="334">
        <f t="shared" ref="M138:M149" si="219">K138</f>
        <v>522430850.19</v>
      </c>
      <c r="N138" s="334">
        <f t="shared" ref="N138" si="220">N136+I138</f>
        <v>354092020.42000002</v>
      </c>
    </row>
    <row r="139" spans="1:14" x14ac:dyDescent="0.3">
      <c r="A139" s="346">
        <v>47150</v>
      </c>
      <c r="B139" s="347">
        <f t="shared" ref="B139:B149" si="221">B138</f>
        <v>522430850.19</v>
      </c>
      <c r="C139" s="347">
        <f t="shared" si="211"/>
        <v>0</v>
      </c>
      <c r="D139" s="347">
        <f t="shared" si="138"/>
        <v>522430850.19</v>
      </c>
      <c r="E139" s="347">
        <f t="shared" ref="E139:F149" si="222">E138</f>
        <v>2418661.34</v>
      </c>
      <c r="F139" s="348">
        <f t="shared" si="116"/>
        <v>20</v>
      </c>
      <c r="G139" s="349">
        <f t="shared" si="213"/>
        <v>483732.27</v>
      </c>
      <c r="H139" s="350">
        <f t="shared" si="214"/>
        <v>2902393.61</v>
      </c>
      <c r="I139" s="350">
        <v>0</v>
      </c>
      <c r="J139" s="303" t="str">
        <f t="shared" si="216"/>
        <v>-</v>
      </c>
      <c r="K139" s="350">
        <f t="shared" ref="K139:K150" si="223">K138</f>
        <v>522430850.19</v>
      </c>
      <c r="L139" s="350">
        <f t="shared" si="218"/>
        <v>0</v>
      </c>
      <c r="M139" s="350">
        <f t="shared" si="219"/>
        <v>522430850.19</v>
      </c>
      <c r="N139" s="350">
        <f t="shared" ref="N139" si="224">N138+I139</f>
        <v>354092020.42000002</v>
      </c>
    </row>
    <row r="140" spans="1:14" x14ac:dyDescent="0.3">
      <c r="A140" s="346">
        <v>47178</v>
      </c>
      <c r="B140" s="347">
        <f t="shared" si="221"/>
        <v>522430850.19</v>
      </c>
      <c r="C140" s="347">
        <f t="shared" si="211"/>
        <v>0</v>
      </c>
      <c r="D140" s="347">
        <f t="shared" si="138"/>
        <v>522430850.19</v>
      </c>
      <c r="E140" s="347">
        <f t="shared" si="222"/>
        <v>2418661.34</v>
      </c>
      <c r="F140" s="348">
        <f t="shared" si="116"/>
        <v>20</v>
      </c>
      <c r="G140" s="349">
        <f t="shared" si="213"/>
        <v>483732.27</v>
      </c>
      <c r="H140" s="350">
        <f t="shared" si="214"/>
        <v>2902393.61</v>
      </c>
      <c r="I140" s="350">
        <v>0</v>
      </c>
      <c r="J140" s="303" t="str">
        <f t="shared" si="216"/>
        <v>-</v>
      </c>
      <c r="K140" s="350">
        <f t="shared" si="223"/>
        <v>522430850.19</v>
      </c>
      <c r="L140" s="350">
        <f t="shared" si="218"/>
        <v>0</v>
      </c>
      <c r="M140" s="350">
        <f t="shared" si="219"/>
        <v>522430850.19</v>
      </c>
      <c r="N140" s="350">
        <f t="shared" si="156"/>
        <v>354092020.42000002</v>
      </c>
    </row>
    <row r="141" spans="1:14" x14ac:dyDescent="0.3">
      <c r="A141" s="346">
        <v>47209</v>
      </c>
      <c r="B141" s="347">
        <f t="shared" si="221"/>
        <v>522430850.19</v>
      </c>
      <c r="C141" s="347">
        <f t="shared" si="211"/>
        <v>0</v>
      </c>
      <c r="D141" s="347">
        <f t="shared" si="138"/>
        <v>522430850.19</v>
      </c>
      <c r="E141" s="347">
        <f t="shared" si="222"/>
        <v>2418661.34</v>
      </c>
      <c r="F141" s="348">
        <f t="shared" si="116"/>
        <v>20</v>
      </c>
      <c r="G141" s="349">
        <f t="shared" si="213"/>
        <v>483732.27</v>
      </c>
      <c r="H141" s="350">
        <f t="shared" si="214"/>
        <v>2902393.61</v>
      </c>
      <c r="I141" s="350">
        <f t="shared" ref="I141" si="225">SUM(H138:H140)</f>
        <v>8707180.8300000001</v>
      </c>
      <c r="J141" s="303">
        <f t="shared" si="216"/>
        <v>47228</v>
      </c>
      <c r="K141" s="350">
        <f t="shared" si="223"/>
        <v>522430850.19</v>
      </c>
      <c r="L141" s="350">
        <f t="shared" si="218"/>
        <v>0</v>
      </c>
      <c r="M141" s="350">
        <f t="shared" si="219"/>
        <v>522430850.19</v>
      </c>
      <c r="N141" s="350">
        <f t="shared" si="156"/>
        <v>362799201.25</v>
      </c>
    </row>
    <row r="142" spans="1:14" x14ac:dyDescent="0.3">
      <c r="A142" s="346">
        <v>47239</v>
      </c>
      <c r="B142" s="347">
        <f t="shared" si="221"/>
        <v>522430850.19</v>
      </c>
      <c r="C142" s="347">
        <f t="shared" si="211"/>
        <v>0</v>
      </c>
      <c r="D142" s="347">
        <f t="shared" si="138"/>
        <v>522430850.19</v>
      </c>
      <c r="E142" s="347">
        <f t="shared" si="222"/>
        <v>2418661.34</v>
      </c>
      <c r="F142" s="348">
        <f t="shared" si="116"/>
        <v>20</v>
      </c>
      <c r="G142" s="349">
        <f t="shared" si="213"/>
        <v>483732.27</v>
      </c>
      <c r="H142" s="350">
        <f t="shared" si="214"/>
        <v>2902393.61</v>
      </c>
      <c r="I142" s="350">
        <v>0</v>
      </c>
      <c r="J142" s="303" t="str">
        <f t="shared" si="216"/>
        <v>-</v>
      </c>
      <c r="K142" s="350">
        <f t="shared" si="223"/>
        <v>522430850.19</v>
      </c>
      <c r="L142" s="350">
        <f t="shared" si="218"/>
        <v>0</v>
      </c>
      <c r="M142" s="350">
        <f t="shared" si="219"/>
        <v>522430850.19</v>
      </c>
      <c r="N142" s="350">
        <f t="shared" si="156"/>
        <v>362799201.25</v>
      </c>
    </row>
    <row r="143" spans="1:14" x14ac:dyDescent="0.3">
      <c r="A143" s="346">
        <v>47270</v>
      </c>
      <c r="B143" s="347">
        <f t="shared" si="221"/>
        <v>522430850.19</v>
      </c>
      <c r="C143" s="347">
        <f t="shared" si="211"/>
        <v>0</v>
      </c>
      <c r="D143" s="347">
        <f t="shared" si="138"/>
        <v>522430850.19</v>
      </c>
      <c r="E143" s="347">
        <f t="shared" si="222"/>
        <v>2418661.34</v>
      </c>
      <c r="F143" s="348">
        <f t="shared" si="116"/>
        <v>20</v>
      </c>
      <c r="G143" s="349">
        <f t="shared" si="213"/>
        <v>483732.27</v>
      </c>
      <c r="H143" s="350">
        <f t="shared" si="214"/>
        <v>2902393.61</v>
      </c>
      <c r="I143" s="350">
        <v>0</v>
      </c>
      <c r="J143" s="303" t="str">
        <f t="shared" si="216"/>
        <v>-</v>
      </c>
      <c r="K143" s="350">
        <f t="shared" si="223"/>
        <v>522430850.19</v>
      </c>
      <c r="L143" s="350">
        <f t="shared" si="218"/>
        <v>0</v>
      </c>
      <c r="M143" s="350">
        <f t="shared" si="219"/>
        <v>522430850.19</v>
      </c>
      <c r="N143" s="350">
        <f t="shared" si="156"/>
        <v>362799201.25</v>
      </c>
    </row>
    <row r="144" spans="1:14" x14ac:dyDescent="0.3">
      <c r="A144" s="346">
        <v>47300</v>
      </c>
      <c r="B144" s="347">
        <f t="shared" si="221"/>
        <v>522430850.19</v>
      </c>
      <c r="C144" s="347">
        <f t="shared" si="211"/>
        <v>0</v>
      </c>
      <c r="D144" s="347">
        <f t="shared" si="138"/>
        <v>522430850.19</v>
      </c>
      <c r="E144" s="347">
        <f t="shared" si="222"/>
        <v>2418661.34</v>
      </c>
      <c r="F144" s="348">
        <f t="shared" si="116"/>
        <v>20</v>
      </c>
      <c r="G144" s="349">
        <f t="shared" si="213"/>
        <v>483732.27</v>
      </c>
      <c r="H144" s="350">
        <f t="shared" si="214"/>
        <v>2902393.61</v>
      </c>
      <c r="I144" s="350">
        <f t="shared" ref="I144" si="226">SUM(H141:H143)</f>
        <v>8707180.8300000001</v>
      </c>
      <c r="J144" s="303">
        <f t="shared" si="216"/>
        <v>47319</v>
      </c>
      <c r="K144" s="350">
        <f t="shared" si="223"/>
        <v>522430850.19</v>
      </c>
      <c r="L144" s="350">
        <f t="shared" si="218"/>
        <v>0</v>
      </c>
      <c r="M144" s="350">
        <f t="shared" si="219"/>
        <v>522430850.19</v>
      </c>
      <c r="N144" s="350">
        <f t="shared" si="156"/>
        <v>371506382.07999998</v>
      </c>
    </row>
    <row r="145" spans="1:14" x14ac:dyDescent="0.3">
      <c r="A145" s="346">
        <v>47331</v>
      </c>
      <c r="B145" s="347">
        <f t="shared" si="221"/>
        <v>522430850.19</v>
      </c>
      <c r="C145" s="347">
        <f t="shared" si="211"/>
        <v>0</v>
      </c>
      <c r="D145" s="347">
        <f t="shared" si="138"/>
        <v>522430850.19</v>
      </c>
      <c r="E145" s="347">
        <f t="shared" si="222"/>
        <v>2418661.34</v>
      </c>
      <c r="F145" s="348">
        <f t="shared" si="116"/>
        <v>20</v>
      </c>
      <c r="G145" s="349">
        <f t="shared" si="213"/>
        <v>483732.27</v>
      </c>
      <c r="H145" s="350">
        <f t="shared" si="214"/>
        <v>2902393.61</v>
      </c>
      <c r="I145" s="350">
        <v>0</v>
      </c>
      <c r="J145" s="303" t="str">
        <f t="shared" si="216"/>
        <v>-</v>
      </c>
      <c r="K145" s="350">
        <f t="shared" si="223"/>
        <v>522430850.19</v>
      </c>
      <c r="L145" s="350">
        <f t="shared" si="218"/>
        <v>0</v>
      </c>
      <c r="M145" s="350">
        <f t="shared" si="219"/>
        <v>522430850.19</v>
      </c>
      <c r="N145" s="350">
        <f t="shared" si="156"/>
        <v>371506382.07999998</v>
      </c>
    </row>
    <row r="146" spans="1:14" x14ac:dyDescent="0.3">
      <c r="A146" s="346">
        <v>47362</v>
      </c>
      <c r="B146" s="347">
        <f t="shared" si="221"/>
        <v>522430850.19</v>
      </c>
      <c r="C146" s="347">
        <f t="shared" si="211"/>
        <v>0</v>
      </c>
      <c r="D146" s="347">
        <f t="shared" si="138"/>
        <v>522430850.19</v>
      </c>
      <c r="E146" s="347">
        <f t="shared" si="222"/>
        <v>2418661.34</v>
      </c>
      <c r="F146" s="348">
        <f t="shared" si="116"/>
        <v>20</v>
      </c>
      <c r="G146" s="349">
        <f t="shared" si="213"/>
        <v>483732.27</v>
      </c>
      <c r="H146" s="350">
        <f t="shared" si="214"/>
        <v>2902393.61</v>
      </c>
      <c r="I146" s="350">
        <v>0</v>
      </c>
      <c r="J146" s="303" t="str">
        <f t="shared" si="216"/>
        <v>-</v>
      </c>
      <c r="K146" s="350">
        <f t="shared" si="223"/>
        <v>522430850.19</v>
      </c>
      <c r="L146" s="350">
        <f t="shared" si="218"/>
        <v>0</v>
      </c>
      <c r="M146" s="350">
        <f t="shared" si="219"/>
        <v>522430850.19</v>
      </c>
      <c r="N146" s="350">
        <f t="shared" si="156"/>
        <v>371506382.07999998</v>
      </c>
    </row>
    <row r="147" spans="1:14" x14ac:dyDescent="0.3">
      <c r="A147" s="346">
        <v>47392</v>
      </c>
      <c r="B147" s="347">
        <f t="shared" si="221"/>
        <v>522430850.19</v>
      </c>
      <c r="C147" s="347">
        <f t="shared" si="211"/>
        <v>0</v>
      </c>
      <c r="D147" s="347">
        <f t="shared" si="138"/>
        <v>522430850.19</v>
      </c>
      <c r="E147" s="347">
        <f t="shared" si="222"/>
        <v>2418661.34</v>
      </c>
      <c r="F147" s="348">
        <f t="shared" si="116"/>
        <v>20</v>
      </c>
      <c r="G147" s="349">
        <f t="shared" si="213"/>
        <v>483732.27</v>
      </c>
      <c r="H147" s="350">
        <f t="shared" si="214"/>
        <v>2902393.61</v>
      </c>
      <c r="I147" s="350">
        <f t="shared" ref="I147" si="227">SUM(H144:H146)</f>
        <v>8707180.8300000001</v>
      </c>
      <c r="J147" s="303">
        <f t="shared" si="216"/>
        <v>47411</v>
      </c>
      <c r="K147" s="350">
        <f t="shared" si="223"/>
        <v>522430850.19</v>
      </c>
      <c r="L147" s="350">
        <f t="shared" si="218"/>
        <v>0</v>
      </c>
      <c r="M147" s="350">
        <f t="shared" si="219"/>
        <v>522430850.19</v>
      </c>
      <c r="N147" s="350">
        <f t="shared" si="156"/>
        <v>380213562.91000003</v>
      </c>
    </row>
    <row r="148" spans="1:14" x14ac:dyDescent="0.3">
      <c r="A148" s="346">
        <v>47423</v>
      </c>
      <c r="B148" s="347">
        <f t="shared" si="221"/>
        <v>522430850.19</v>
      </c>
      <c r="C148" s="347">
        <f t="shared" si="211"/>
        <v>0</v>
      </c>
      <c r="D148" s="347">
        <f t="shared" si="138"/>
        <v>522430850.19</v>
      </c>
      <c r="E148" s="347">
        <f t="shared" si="222"/>
        <v>2418661.34</v>
      </c>
      <c r="F148" s="348">
        <f t="shared" si="116"/>
        <v>20</v>
      </c>
      <c r="G148" s="349">
        <f t="shared" si="213"/>
        <v>483732.27</v>
      </c>
      <c r="H148" s="350">
        <f t="shared" si="214"/>
        <v>2902393.61</v>
      </c>
      <c r="I148" s="350">
        <v>0</v>
      </c>
      <c r="J148" s="303" t="str">
        <f t="shared" si="216"/>
        <v>-</v>
      </c>
      <c r="K148" s="350">
        <f t="shared" si="223"/>
        <v>522430850.19</v>
      </c>
      <c r="L148" s="350">
        <f t="shared" si="218"/>
        <v>0</v>
      </c>
      <c r="M148" s="350">
        <f t="shared" si="219"/>
        <v>522430850.19</v>
      </c>
      <c r="N148" s="350">
        <f t="shared" si="156"/>
        <v>380213562.91000003</v>
      </c>
    </row>
    <row r="149" spans="1:14" ht="19.5" thickBot="1" x14ac:dyDescent="0.35">
      <c r="A149" s="335">
        <v>47453</v>
      </c>
      <c r="B149" s="336">
        <f t="shared" si="221"/>
        <v>522430850.19</v>
      </c>
      <c r="C149" s="336">
        <f t="shared" si="211"/>
        <v>0</v>
      </c>
      <c r="D149" s="336">
        <f t="shared" si="138"/>
        <v>522430850.19</v>
      </c>
      <c r="E149" s="336">
        <f t="shared" si="222"/>
        <v>2418661.34</v>
      </c>
      <c r="F149" s="337">
        <f t="shared" si="222"/>
        <v>20</v>
      </c>
      <c r="G149" s="338">
        <f t="shared" si="213"/>
        <v>483732.27</v>
      </c>
      <c r="H149" s="339">
        <f t="shared" si="214"/>
        <v>2902393.61</v>
      </c>
      <c r="I149" s="339">
        <v>0</v>
      </c>
      <c r="J149" s="290" t="str">
        <f t="shared" si="216"/>
        <v>-</v>
      </c>
      <c r="K149" s="339">
        <f t="shared" si="223"/>
        <v>522430850.19</v>
      </c>
      <c r="L149" s="339">
        <f t="shared" si="218"/>
        <v>0</v>
      </c>
      <c r="M149" s="339">
        <f t="shared" si="219"/>
        <v>522430850.19</v>
      </c>
      <c r="N149" s="339">
        <f t="shared" si="156"/>
        <v>380213562.91000003</v>
      </c>
    </row>
    <row r="150" spans="1:14" s="351" customFormat="1" ht="19.5" thickBot="1" x14ac:dyDescent="0.35">
      <c r="A150" s="340">
        <f>A137+1</f>
        <v>2029</v>
      </c>
      <c r="B150" s="341">
        <f t="shared" ref="B150" si="228">B138</f>
        <v>522430850.19</v>
      </c>
      <c r="C150" s="341">
        <f t="shared" si="211"/>
        <v>0</v>
      </c>
      <c r="D150" s="341">
        <f t="shared" si="138"/>
        <v>522430850.19</v>
      </c>
      <c r="E150" s="341">
        <f t="shared" ref="E150" si="229">SUM(E138:E149)</f>
        <v>29023936.079999998</v>
      </c>
      <c r="F150" s="342">
        <f t="shared" ref="F150:F204" si="230">F149</f>
        <v>20</v>
      </c>
      <c r="G150" s="343">
        <f t="shared" ref="G150:I150" si="231">SUM(G138:G149)</f>
        <v>5804787.2400000002</v>
      </c>
      <c r="H150" s="344">
        <f t="shared" si="231"/>
        <v>34828723.32</v>
      </c>
      <c r="I150" s="344">
        <f t="shared" si="231"/>
        <v>34828723.32</v>
      </c>
      <c r="J150" s="296"/>
      <c r="K150" s="344">
        <f t="shared" si="223"/>
        <v>522430850.19</v>
      </c>
      <c r="L150" s="344">
        <f t="shared" ref="L150" si="232">L149</f>
        <v>0</v>
      </c>
      <c r="M150" s="344">
        <f t="shared" ref="M150" si="233">M149</f>
        <v>522430850.19</v>
      </c>
      <c r="N150" s="344">
        <f t="shared" ref="N150" si="234">N149</f>
        <v>380213562.91000003</v>
      </c>
    </row>
    <row r="151" spans="1:14" x14ac:dyDescent="0.3">
      <c r="A151" s="330">
        <v>10959</v>
      </c>
      <c r="B151" s="331">
        <f t="shared" ref="B151" si="235">B149</f>
        <v>522430850.19</v>
      </c>
      <c r="C151" s="331">
        <f t="shared" si="211"/>
        <v>0</v>
      </c>
      <c r="D151" s="331">
        <f t="shared" si="138"/>
        <v>522430850.19</v>
      </c>
      <c r="E151" s="331">
        <f t="shared" ref="E151" si="236">E138</f>
        <v>2418661.34</v>
      </c>
      <c r="F151" s="332">
        <f t="shared" si="230"/>
        <v>20</v>
      </c>
      <c r="G151" s="333">
        <f t="shared" ref="G151:G162" si="237">E151*F151/100</f>
        <v>483732.27</v>
      </c>
      <c r="H151" s="334">
        <f t="shared" ref="H151:H162" si="238">G151+E151</f>
        <v>2902393.61</v>
      </c>
      <c r="I151" s="334">
        <f t="shared" ref="I151" si="239">SUM(H147:H149)</f>
        <v>8707180.8300000001</v>
      </c>
      <c r="J151" s="284">
        <f t="shared" ref="J151:J162" si="240">IF(I151=0,"-",A151+19)</f>
        <v>10978</v>
      </c>
      <c r="K151" s="334">
        <f t="shared" ref="K151" si="241">K149</f>
        <v>522430850.19</v>
      </c>
      <c r="L151" s="334">
        <f t="shared" si="218"/>
        <v>0</v>
      </c>
      <c r="M151" s="334">
        <f t="shared" ref="M151:M162" si="242">K151</f>
        <v>522430850.19</v>
      </c>
      <c r="N151" s="334">
        <f t="shared" ref="N151" si="243">N149+I151</f>
        <v>388920743.74000001</v>
      </c>
    </row>
    <row r="152" spans="1:14" x14ac:dyDescent="0.3">
      <c r="A152" s="346">
        <v>10990</v>
      </c>
      <c r="B152" s="347">
        <f t="shared" ref="B152:B162" si="244">B151</f>
        <v>522430850.19</v>
      </c>
      <c r="C152" s="347">
        <f t="shared" si="211"/>
        <v>0</v>
      </c>
      <c r="D152" s="347">
        <f t="shared" si="138"/>
        <v>522430850.19</v>
      </c>
      <c r="E152" s="347">
        <f t="shared" ref="E152:E162" si="245">E151</f>
        <v>2418661.34</v>
      </c>
      <c r="F152" s="348">
        <f t="shared" si="230"/>
        <v>20</v>
      </c>
      <c r="G152" s="349">
        <f t="shared" si="237"/>
        <v>483732.27</v>
      </c>
      <c r="H152" s="350">
        <f t="shared" si="238"/>
        <v>2902393.61</v>
      </c>
      <c r="I152" s="350">
        <v>0</v>
      </c>
      <c r="J152" s="303" t="str">
        <f t="shared" si="240"/>
        <v>-</v>
      </c>
      <c r="K152" s="350">
        <f t="shared" ref="K152:K163" si="246">K151</f>
        <v>522430850.19</v>
      </c>
      <c r="L152" s="350">
        <f t="shared" si="218"/>
        <v>0</v>
      </c>
      <c r="M152" s="350">
        <f t="shared" si="242"/>
        <v>522430850.19</v>
      </c>
      <c r="N152" s="350">
        <f t="shared" ref="N152" si="247">N151+I152</f>
        <v>388920743.74000001</v>
      </c>
    </row>
    <row r="153" spans="1:14" x14ac:dyDescent="0.3">
      <c r="A153" s="346">
        <v>11018</v>
      </c>
      <c r="B153" s="347">
        <f t="shared" si="244"/>
        <v>522430850.19</v>
      </c>
      <c r="C153" s="347">
        <f t="shared" si="211"/>
        <v>0</v>
      </c>
      <c r="D153" s="347">
        <f t="shared" si="138"/>
        <v>522430850.19</v>
      </c>
      <c r="E153" s="347">
        <f t="shared" si="245"/>
        <v>2418661.34</v>
      </c>
      <c r="F153" s="348">
        <f t="shared" si="230"/>
        <v>20</v>
      </c>
      <c r="G153" s="349">
        <f t="shared" si="237"/>
        <v>483732.27</v>
      </c>
      <c r="H153" s="350">
        <f t="shared" si="238"/>
        <v>2902393.61</v>
      </c>
      <c r="I153" s="350">
        <v>0</v>
      </c>
      <c r="J153" s="303" t="str">
        <f t="shared" si="240"/>
        <v>-</v>
      </c>
      <c r="K153" s="350">
        <f t="shared" si="246"/>
        <v>522430850.19</v>
      </c>
      <c r="L153" s="350">
        <f t="shared" si="218"/>
        <v>0</v>
      </c>
      <c r="M153" s="350">
        <f t="shared" si="242"/>
        <v>522430850.19</v>
      </c>
      <c r="N153" s="350">
        <f t="shared" si="156"/>
        <v>388920743.74000001</v>
      </c>
    </row>
    <row r="154" spans="1:14" x14ac:dyDescent="0.3">
      <c r="A154" s="346">
        <v>11049</v>
      </c>
      <c r="B154" s="347">
        <f t="shared" si="244"/>
        <v>522430850.19</v>
      </c>
      <c r="C154" s="347">
        <f t="shared" si="211"/>
        <v>0</v>
      </c>
      <c r="D154" s="347">
        <f t="shared" si="138"/>
        <v>522430850.19</v>
      </c>
      <c r="E154" s="347">
        <f t="shared" si="245"/>
        <v>2418661.34</v>
      </c>
      <c r="F154" s="348">
        <f t="shared" si="230"/>
        <v>20</v>
      </c>
      <c r="G154" s="349">
        <f t="shared" si="237"/>
        <v>483732.27</v>
      </c>
      <c r="H154" s="350">
        <f t="shared" si="238"/>
        <v>2902393.61</v>
      </c>
      <c r="I154" s="350">
        <f t="shared" ref="I154" si="248">SUM(H151:H153)</f>
        <v>8707180.8300000001</v>
      </c>
      <c r="J154" s="303">
        <f t="shared" si="240"/>
        <v>11068</v>
      </c>
      <c r="K154" s="350">
        <f t="shared" si="246"/>
        <v>522430850.19</v>
      </c>
      <c r="L154" s="350">
        <f t="shared" si="218"/>
        <v>0</v>
      </c>
      <c r="M154" s="350">
        <f t="shared" si="242"/>
        <v>522430850.19</v>
      </c>
      <c r="N154" s="350">
        <f t="shared" si="156"/>
        <v>397627924.56999999</v>
      </c>
    </row>
    <row r="155" spans="1:14" x14ac:dyDescent="0.3">
      <c r="A155" s="346">
        <v>11079</v>
      </c>
      <c r="B155" s="347">
        <f t="shared" si="244"/>
        <v>522430850.19</v>
      </c>
      <c r="C155" s="347">
        <f t="shared" si="211"/>
        <v>0</v>
      </c>
      <c r="D155" s="347">
        <f t="shared" si="138"/>
        <v>522430850.19</v>
      </c>
      <c r="E155" s="347">
        <f t="shared" si="245"/>
        <v>2418661.34</v>
      </c>
      <c r="F155" s="348">
        <f t="shared" si="230"/>
        <v>20</v>
      </c>
      <c r="G155" s="349">
        <f t="shared" si="237"/>
        <v>483732.27</v>
      </c>
      <c r="H155" s="350">
        <f t="shared" si="238"/>
        <v>2902393.61</v>
      </c>
      <c r="I155" s="350">
        <v>0</v>
      </c>
      <c r="J155" s="303" t="str">
        <f t="shared" si="240"/>
        <v>-</v>
      </c>
      <c r="K155" s="350">
        <f t="shared" si="246"/>
        <v>522430850.19</v>
      </c>
      <c r="L155" s="350">
        <f t="shared" si="218"/>
        <v>0</v>
      </c>
      <c r="M155" s="350">
        <f t="shared" si="242"/>
        <v>522430850.19</v>
      </c>
      <c r="N155" s="350">
        <f t="shared" si="156"/>
        <v>397627924.56999999</v>
      </c>
    </row>
    <row r="156" spans="1:14" x14ac:dyDescent="0.3">
      <c r="A156" s="346">
        <v>11110</v>
      </c>
      <c r="B156" s="347">
        <f t="shared" si="244"/>
        <v>522430850.19</v>
      </c>
      <c r="C156" s="347">
        <f t="shared" si="211"/>
        <v>0</v>
      </c>
      <c r="D156" s="347">
        <f t="shared" si="138"/>
        <v>522430850.19</v>
      </c>
      <c r="E156" s="347">
        <f t="shared" si="245"/>
        <v>2418661.34</v>
      </c>
      <c r="F156" s="348">
        <f t="shared" si="230"/>
        <v>20</v>
      </c>
      <c r="G156" s="349">
        <f t="shared" si="237"/>
        <v>483732.27</v>
      </c>
      <c r="H156" s="350">
        <f t="shared" si="238"/>
        <v>2902393.61</v>
      </c>
      <c r="I156" s="350">
        <v>0</v>
      </c>
      <c r="J156" s="303" t="str">
        <f t="shared" si="240"/>
        <v>-</v>
      </c>
      <c r="K156" s="350">
        <f t="shared" si="246"/>
        <v>522430850.19</v>
      </c>
      <c r="L156" s="350">
        <f t="shared" si="218"/>
        <v>0</v>
      </c>
      <c r="M156" s="350">
        <f t="shared" si="242"/>
        <v>522430850.19</v>
      </c>
      <c r="N156" s="350">
        <f t="shared" si="156"/>
        <v>397627924.56999999</v>
      </c>
    </row>
    <row r="157" spans="1:14" x14ac:dyDescent="0.3">
      <c r="A157" s="346">
        <v>11140</v>
      </c>
      <c r="B157" s="347">
        <f t="shared" si="244"/>
        <v>522430850.19</v>
      </c>
      <c r="C157" s="347">
        <f t="shared" si="211"/>
        <v>0</v>
      </c>
      <c r="D157" s="347">
        <f t="shared" si="138"/>
        <v>522430850.19</v>
      </c>
      <c r="E157" s="347">
        <f t="shared" si="245"/>
        <v>2418661.34</v>
      </c>
      <c r="F157" s="348">
        <f t="shared" si="230"/>
        <v>20</v>
      </c>
      <c r="G157" s="349">
        <f t="shared" si="237"/>
        <v>483732.27</v>
      </c>
      <c r="H157" s="350">
        <f t="shared" si="238"/>
        <v>2902393.61</v>
      </c>
      <c r="I157" s="350">
        <f t="shared" ref="I157" si="249">SUM(H154:H156)</f>
        <v>8707180.8300000001</v>
      </c>
      <c r="J157" s="303">
        <f t="shared" si="240"/>
        <v>11159</v>
      </c>
      <c r="K157" s="350">
        <f t="shared" si="246"/>
        <v>522430850.19</v>
      </c>
      <c r="L157" s="350">
        <f t="shared" si="218"/>
        <v>0</v>
      </c>
      <c r="M157" s="350">
        <f t="shared" si="242"/>
        <v>522430850.19</v>
      </c>
      <c r="N157" s="350">
        <f t="shared" si="156"/>
        <v>406335105.39999998</v>
      </c>
    </row>
    <row r="158" spans="1:14" x14ac:dyDescent="0.3">
      <c r="A158" s="346">
        <v>11171</v>
      </c>
      <c r="B158" s="347">
        <f t="shared" si="244"/>
        <v>522430850.19</v>
      </c>
      <c r="C158" s="347">
        <f t="shared" si="211"/>
        <v>0</v>
      </c>
      <c r="D158" s="347">
        <f t="shared" si="138"/>
        <v>522430850.19</v>
      </c>
      <c r="E158" s="347">
        <f t="shared" si="245"/>
        <v>2418661.34</v>
      </c>
      <c r="F158" s="348">
        <f t="shared" si="230"/>
        <v>20</v>
      </c>
      <c r="G158" s="349">
        <f t="shared" si="237"/>
        <v>483732.27</v>
      </c>
      <c r="H158" s="350">
        <f t="shared" si="238"/>
        <v>2902393.61</v>
      </c>
      <c r="I158" s="350">
        <v>0</v>
      </c>
      <c r="J158" s="303" t="str">
        <f t="shared" si="240"/>
        <v>-</v>
      </c>
      <c r="K158" s="350">
        <f t="shared" si="246"/>
        <v>522430850.19</v>
      </c>
      <c r="L158" s="350">
        <f t="shared" si="218"/>
        <v>0</v>
      </c>
      <c r="M158" s="350">
        <f t="shared" si="242"/>
        <v>522430850.19</v>
      </c>
      <c r="N158" s="350">
        <f t="shared" si="156"/>
        <v>406335105.39999998</v>
      </c>
    </row>
    <row r="159" spans="1:14" x14ac:dyDescent="0.3">
      <c r="A159" s="346">
        <v>11202</v>
      </c>
      <c r="B159" s="347">
        <f t="shared" si="244"/>
        <v>522430850.19</v>
      </c>
      <c r="C159" s="347">
        <f t="shared" si="211"/>
        <v>0</v>
      </c>
      <c r="D159" s="347">
        <f t="shared" si="138"/>
        <v>522430850.19</v>
      </c>
      <c r="E159" s="347">
        <f t="shared" si="245"/>
        <v>2418661.34</v>
      </c>
      <c r="F159" s="348">
        <f t="shared" si="230"/>
        <v>20</v>
      </c>
      <c r="G159" s="349">
        <f t="shared" si="237"/>
        <v>483732.27</v>
      </c>
      <c r="H159" s="350">
        <f t="shared" si="238"/>
        <v>2902393.61</v>
      </c>
      <c r="I159" s="350">
        <v>0</v>
      </c>
      <c r="J159" s="303" t="str">
        <f t="shared" si="240"/>
        <v>-</v>
      </c>
      <c r="K159" s="350">
        <f t="shared" si="246"/>
        <v>522430850.19</v>
      </c>
      <c r="L159" s="350">
        <f t="shared" si="218"/>
        <v>0</v>
      </c>
      <c r="M159" s="350">
        <f t="shared" si="242"/>
        <v>522430850.19</v>
      </c>
      <c r="N159" s="350">
        <f t="shared" si="156"/>
        <v>406335105.39999998</v>
      </c>
    </row>
    <row r="160" spans="1:14" x14ac:dyDescent="0.3">
      <c r="A160" s="346">
        <v>11232</v>
      </c>
      <c r="B160" s="347">
        <f t="shared" si="244"/>
        <v>522430850.19</v>
      </c>
      <c r="C160" s="347">
        <f t="shared" si="211"/>
        <v>0</v>
      </c>
      <c r="D160" s="347">
        <f t="shared" si="138"/>
        <v>522430850.19</v>
      </c>
      <c r="E160" s="347">
        <f t="shared" si="245"/>
        <v>2418661.34</v>
      </c>
      <c r="F160" s="348">
        <f t="shared" si="230"/>
        <v>20</v>
      </c>
      <c r="G160" s="349">
        <f t="shared" si="237"/>
        <v>483732.27</v>
      </c>
      <c r="H160" s="350">
        <f t="shared" si="238"/>
        <v>2902393.61</v>
      </c>
      <c r="I160" s="350">
        <f t="shared" ref="I160" si="250">SUM(H157:H159)</f>
        <v>8707180.8300000001</v>
      </c>
      <c r="J160" s="303">
        <f t="shared" si="240"/>
        <v>11251</v>
      </c>
      <c r="K160" s="350">
        <f t="shared" si="246"/>
        <v>522430850.19</v>
      </c>
      <c r="L160" s="350">
        <f t="shared" si="218"/>
        <v>0</v>
      </c>
      <c r="M160" s="350">
        <f t="shared" si="242"/>
        <v>522430850.19</v>
      </c>
      <c r="N160" s="350">
        <f t="shared" si="156"/>
        <v>415042286.23000002</v>
      </c>
    </row>
    <row r="161" spans="1:14" x14ac:dyDescent="0.3">
      <c r="A161" s="346">
        <v>11263</v>
      </c>
      <c r="B161" s="347">
        <f t="shared" si="244"/>
        <v>522430850.19</v>
      </c>
      <c r="C161" s="347">
        <f t="shared" si="211"/>
        <v>0</v>
      </c>
      <c r="D161" s="347">
        <f t="shared" si="138"/>
        <v>522430850.19</v>
      </c>
      <c r="E161" s="347">
        <f t="shared" si="245"/>
        <v>2418661.34</v>
      </c>
      <c r="F161" s="348">
        <f t="shared" si="230"/>
        <v>20</v>
      </c>
      <c r="G161" s="349">
        <f t="shared" si="237"/>
        <v>483732.27</v>
      </c>
      <c r="H161" s="350">
        <f t="shared" si="238"/>
        <v>2902393.61</v>
      </c>
      <c r="I161" s="350">
        <v>0</v>
      </c>
      <c r="J161" s="303" t="str">
        <f t="shared" si="240"/>
        <v>-</v>
      </c>
      <c r="K161" s="350">
        <f t="shared" si="246"/>
        <v>522430850.19</v>
      </c>
      <c r="L161" s="350">
        <f t="shared" si="218"/>
        <v>0</v>
      </c>
      <c r="M161" s="350">
        <f t="shared" si="242"/>
        <v>522430850.19</v>
      </c>
      <c r="N161" s="350">
        <f t="shared" si="156"/>
        <v>415042286.23000002</v>
      </c>
    </row>
    <row r="162" spans="1:14" ht="19.5" thickBot="1" x14ac:dyDescent="0.35">
      <c r="A162" s="335">
        <v>11293</v>
      </c>
      <c r="B162" s="336">
        <f t="shared" si="244"/>
        <v>522430850.19</v>
      </c>
      <c r="C162" s="336">
        <f t="shared" si="211"/>
        <v>0</v>
      </c>
      <c r="D162" s="336">
        <f t="shared" ref="D162:D189" si="251">B162</f>
        <v>522430850.19</v>
      </c>
      <c r="E162" s="336">
        <f t="shared" si="245"/>
        <v>2418661.34</v>
      </c>
      <c r="F162" s="337">
        <f t="shared" si="230"/>
        <v>20</v>
      </c>
      <c r="G162" s="338">
        <f t="shared" si="237"/>
        <v>483732.27</v>
      </c>
      <c r="H162" s="339">
        <f t="shared" si="238"/>
        <v>2902393.61</v>
      </c>
      <c r="I162" s="339">
        <v>0</v>
      </c>
      <c r="J162" s="290" t="str">
        <f t="shared" si="240"/>
        <v>-</v>
      </c>
      <c r="K162" s="339">
        <f t="shared" si="246"/>
        <v>522430850.19</v>
      </c>
      <c r="L162" s="339">
        <f t="shared" si="218"/>
        <v>0</v>
      </c>
      <c r="M162" s="339">
        <f t="shared" si="242"/>
        <v>522430850.19</v>
      </c>
      <c r="N162" s="339">
        <f t="shared" si="156"/>
        <v>415042286.23000002</v>
      </c>
    </row>
    <row r="163" spans="1:14" s="351" customFormat="1" ht="19.5" thickBot="1" x14ac:dyDescent="0.35">
      <c r="A163" s="340">
        <f>A150+1</f>
        <v>2030</v>
      </c>
      <c r="B163" s="341">
        <f t="shared" ref="B163" si="252">B151</f>
        <v>522430850.19</v>
      </c>
      <c r="C163" s="341">
        <f t="shared" si="211"/>
        <v>0</v>
      </c>
      <c r="D163" s="341">
        <f t="shared" si="251"/>
        <v>522430850.19</v>
      </c>
      <c r="E163" s="341">
        <f t="shared" ref="E163" si="253">SUM(E151:E162)</f>
        <v>29023936.079999998</v>
      </c>
      <c r="F163" s="342">
        <f t="shared" si="230"/>
        <v>20</v>
      </c>
      <c r="G163" s="343">
        <f t="shared" ref="G163:I163" si="254">SUM(G151:G162)</f>
        <v>5804787.2400000002</v>
      </c>
      <c r="H163" s="344">
        <f t="shared" si="254"/>
        <v>34828723.32</v>
      </c>
      <c r="I163" s="344">
        <f t="shared" si="254"/>
        <v>34828723.32</v>
      </c>
      <c r="J163" s="296"/>
      <c r="K163" s="344">
        <f t="shared" si="246"/>
        <v>522430850.19</v>
      </c>
      <c r="L163" s="344">
        <f t="shared" ref="L163" si="255">L162</f>
        <v>0</v>
      </c>
      <c r="M163" s="344">
        <f t="shared" ref="M163" si="256">M162</f>
        <v>522430850.19</v>
      </c>
      <c r="N163" s="344">
        <f t="shared" ref="N163" si="257">N162</f>
        <v>415042286.23000002</v>
      </c>
    </row>
    <row r="164" spans="1:14" x14ac:dyDescent="0.3">
      <c r="A164" s="330">
        <v>11324</v>
      </c>
      <c r="B164" s="331">
        <f t="shared" ref="B164" si="258">B162</f>
        <v>522430850.19</v>
      </c>
      <c r="C164" s="331">
        <f t="shared" si="211"/>
        <v>0</v>
      </c>
      <c r="D164" s="331">
        <f t="shared" si="251"/>
        <v>522430850.19</v>
      </c>
      <c r="E164" s="331">
        <f t="shared" ref="E164" si="259">E151</f>
        <v>2418661.34</v>
      </c>
      <c r="F164" s="332">
        <f t="shared" si="230"/>
        <v>20</v>
      </c>
      <c r="G164" s="333">
        <f t="shared" ref="G164:G175" si="260">E164*F164/100</f>
        <v>483732.27</v>
      </c>
      <c r="H164" s="334">
        <f t="shared" ref="H164:H175" si="261">G164+E164</f>
        <v>2902393.61</v>
      </c>
      <c r="I164" s="334">
        <f t="shared" ref="I164" si="262">SUM(H160:H162)</f>
        <v>8707180.8300000001</v>
      </c>
      <c r="J164" s="284">
        <f t="shared" ref="J164:J175" si="263">IF(I164=0,"-",A164+19)</f>
        <v>11343</v>
      </c>
      <c r="K164" s="334">
        <f t="shared" ref="K164" si="264">K162</f>
        <v>522430850.19</v>
      </c>
      <c r="L164" s="334">
        <f t="shared" si="218"/>
        <v>0</v>
      </c>
      <c r="M164" s="334">
        <f t="shared" ref="M164:M175" si="265">K164</f>
        <v>522430850.19</v>
      </c>
      <c r="N164" s="334">
        <f t="shared" ref="N164" si="266">N162+I164</f>
        <v>423749467.06</v>
      </c>
    </row>
    <row r="165" spans="1:14" x14ac:dyDescent="0.3">
      <c r="A165" s="346">
        <v>11355</v>
      </c>
      <c r="B165" s="347">
        <f t="shared" ref="B165:B175" si="267">B164</f>
        <v>522430850.19</v>
      </c>
      <c r="C165" s="347">
        <f t="shared" si="211"/>
        <v>0</v>
      </c>
      <c r="D165" s="347">
        <f t="shared" si="251"/>
        <v>522430850.19</v>
      </c>
      <c r="E165" s="347">
        <f t="shared" ref="E165:E175" si="268">E164</f>
        <v>2418661.34</v>
      </c>
      <c r="F165" s="348">
        <f t="shared" si="230"/>
        <v>20</v>
      </c>
      <c r="G165" s="349">
        <f t="shared" si="260"/>
        <v>483732.27</v>
      </c>
      <c r="H165" s="350">
        <f t="shared" si="261"/>
        <v>2902393.61</v>
      </c>
      <c r="I165" s="350">
        <v>0</v>
      </c>
      <c r="J165" s="303" t="str">
        <f t="shared" si="263"/>
        <v>-</v>
      </c>
      <c r="K165" s="350">
        <f t="shared" ref="K165:K176" si="269">K164</f>
        <v>522430850.19</v>
      </c>
      <c r="L165" s="350">
        <f t="shared" si="218"/>
        <v>0</v>
      </c>
      <c r="M165" s="350">
        <f t="shared" si="265"/>
        <v>522430850.19</v>
      </c>
      <c r="N165" s="350">
        <f t="shared" ref="N165:N201" si="270">N164+I165</f>
        <v>423749467.06</v>
      </c>
    </row>
    <row r="166" spans="1:14" x14ac:dyDescent="0.3">
      <c r="A166" s="346">
        <v>11383</v>
      </c>
      <c r="B166" s="347">
        <f t="shared" si="267"/>
        <v>522430850.19</v>
      </c>
      <c r="C166" s="347">
        <f t="shared" si="211"/>
        <v>0</v>
      </c>
      <c r="D166" s="347">
        <f t="shared" si="251"/>
        <v>522430850.19</v>
      </c>
      <c r="E166" s="347">
        <f t="shared" si="268"/>
        <v>2418661.34</v>
      </c>
      <c r="F166" s="348">
        <f t="shared" si="230"/>
        <v>20</v>
      </c>
      <c r="G166" s="349">
        <f t="shared" si="260"/>
        <v>483732.27</v>
      </c>
      <c r="H166" s="350">
        <f t="shared" si="261"/>
        <v>2902393.61</v>
      </c>
      <c r="I166" s="350">
        <v>0</v>
      </c>
      <c r="J166" s="303" t="str">
        <f t="shared" si="263"/>
        <v>-</v>
      </c>
      <c r="K166" s="350">
        <f t="shared" si="269"/>
        <v>522430850.19</v>
      </c>
      <c r="L166" s="350">
        <f t="shared" si="218"/>
        <v>0</v>
      </c>
      <c r="M166" s="350">
        <f t="shared" si="265"/>
        <v>522430850.19</v>
      </c>
      <c r="N166" s="350">
        <f t="shared" si="270"/>
        <v>423749467.06</v>
      </c>
    </row>
    <row r="167" spans="1:14" x14ac:dyDescent="0.3">
      <c r="A167" s="346">
        <v>11414</v>
      </c>
      <c r="B167" s="347">
        <f t="shared" si="267"/>
        <v>522430850.19</v>
      </c>
      <c r="C167" s="347">
        <f t="shared" si="211"/>
        <v>0</v>
      </c>
      <c r="D167" s="347">
        <f t="shared" si="251"/>
        <v>522430850.19</v>
      </c>
      <c r="E167" s="347">
        <f t="shared" si="268"/>
        <v>2418661.34</v>
      </c>
      <c r="F167" s="348">
        <f t="shared" si="230"/>
        <v>20</v>
      </c>
      <c r="G167" s="349">
        <f t="shared" si="260"/>
        <v>483732.27</v>
      </c>
      <c r="H167" s="350">
        <f t="shared" si="261"/>
        <v>2902393.61</v>
      </c>
      <c r="I167" s="350">
        <f t="shared" ref="I167" si="271">SUM(H164:H166)</f>
        <v>8707180.8300000001</v>
      </c>
      <c r="J167" s="303">
        <f t="shared" si="263"/>
        <v>11433</v>
      </c>
      <c r="K167" s="350">
        <f t="shared" si="269"/>
        <v>522430850.19</v>
      </c>
      <c r="L167" s="350">
        <f t="shared" si="218"/>
        <v>0</v>
      </c>
      <c r="M167" s="350">
        <f t="shared" si="265"/>
        <v>522430850.19</v>
      </c>
      <c r="N167" s="350">
        <f t="shared" si="270"/>
        <v>432456647.88999999</v>
      </c>
    </row>
    <row r="168" spans="1:14" x14ac:dyDescent="0.3">
      <c r="A168" s="346">
        <v>11444</v>
      </c>
      <c r="B168" s="347">
        <f t="shared" si="267"/>
        <v>522430850.19</v>
      </c>
      <c r="C168" s="347">
        <f t="shared" si="211"/>
        <v>0</v>
      </c>
      <c r="D168" s="347">
        <f t="shared" si="251"/>
        <v>522430850.19</v>
      </c>
      <c r="E168" s="347">
        <f t="shared" si="268"/>
        <v>2418661.34</v>
      </c>
      <c r="F168" s="348">
        <f t="shared" si="230"/>
        <v>20</v>
      </c>
      <c r="G168" s="349">
        <f t="shared" si="260"/>
        <v>483732.27</v>
      </c>
      <c r="H168" s="350">
        <f t="shared" si="261"/>
        <v>2902393.61</v>
      </c>
      <c r="I168" s="350">
        <v>0</v>
      </c>
      <c r="J168" s="303" t="str">
        <f t="shared" si="263"/>
        <v>-</v>
      </c>
      <c r="K168" s="350">
        <f t="shared" si="269"/>
        <v>522430850.19</v>
      </c>
      <c r="L168" s="350">
        <f t="shared" si="218"/>
        <v>0</v>
      </c>
      <c r="M168" s="350">
        <f t="shared" si="265"/>
        <v>522430850.19</v>
      </c>
      <c r="N168" s="350">
        <f t="shared" si="270"/>
        <v>432456647.88999999</v>
      </c>
    </row>
    <row r="169" spans="1:14" x14ac:dyDescent="0.3">
      <c r="A169" s="346">
        <v>11475</v>
      </c>
      <c r="B169" s="347">
        <f t="shared" si="267"/>
        <v>522430850.19</v>
      </c>
      <c r="C169" s="347">
        <f t="shared" si="211"/>
        <v>0</v>
      </c>
      <c r="D169" s="347">
        <f t="shared" si="251"/>
        <v>522430850.19</v>
      </c>
      <c r="E169" s="347">
        <f t="shared" si="268"/>
        <v>2418661.34</v>
      </c>
      <c r="F169" s="348">
        <f t="shared" si="230"/>
        <v>20</v>
      </c>
      <c r="G169" s="349">
        <f t="shared" si="260"/>
        <v>483732.27</v>
      </c>
      <c r="H169" s="350">
        <f t="shared" si="261"/>
        <v>2902393.61</v>
      </c>
      <c r="I169" s="350">
        <v>0</v>
      </c>
      <c r="J169" s="303" t="str">
        <f t="shared" si="263"/>
        <v>-</v>
      </c>
      <c r="K169" s="350">
        <f t="shared" si="269"/>
        <v>522430850.19</v>
      </c>
      <c r="L169" s="350">
        <f t="shared" si="218"/>
        <v>0</v>
      </c>
      <c r="M169" s="350">
        <f t="shared" si="265"/>
        <v>522430850.19</v>
      </c>
      <c r="N169" s="350">
        <f t="shared" si="270"/>
        <v>432456647.88999999</v>
      </c>
    </row>
    <row r="170" spans="1:14" x14ac:dyDescent="0.3">
      <c r="A170" s="346">
        <v>11505</v>
      </c>
      <c r="B170" s="347">
        <f t="shared" si="267"/>
        <v>522430850.19</v>
      </c>
      <c r="C170" s="347">
        <f t="shared" si="211"/>
        <v>0</v>
      </c>
      <c r="D170" s="347">
        <f t="shared" si="251"/>
        <v>522430850.19</v>
      </c>
      <c r="E170" s="347">
        <f t="shared" si="268"/>
        <v>2418661.34</v>
      </c>
      <c r="F170" s="348">
        <f t="shared" si="230"/>
        <v>20</v>
      </c>
      <c r="G170" s="349">
        <f t="shared" si="260"/>
        <v>483732.27</v>
      </c>
      <c r="H170" s="350">
        <f t="shared" si="261"/>
        <v>2902393.61</v>
      </c>
      <c r="I170" s="350">
        <f t="shared" ref="I170" si="272">SUM(H167:H169)</f>
        <v>8707180.8300000001</v>
      </c>
      <c r="J170" s="303">
        <f t="shared" si="263"/>
        <v>11524</v>
      </c>
      <c r="K170" s="350">
        <f t="shared" si="269"/>
        <v>522430850.19</v>
      </c>
      <c r="L170" s="350">
        <f t="shared" si="218"/>
        <v>0</v>
      </c>
      <c r="M170" s="350">
        <f t="shared" si="265"/>
        <v>522430850.19</v>
      </c>
      <c r="N170" s="350">
        <f t="shared" si="270"/>
        <v>441163828.72000003</v>
      </c>
    </row>
    <row r="171" spans="1:14" x14ac:dyDescent="0.3">
      <c r="A171" s="346">
        <v>11536</v>
      </c>
      <c r="B171" s="347">
        <f t="shared" si="267"/>
        <v>522430850.19</v>
      </c>
      <c r="C171" s="347">
        <f t="shared" si="211"/>
        <v>0</v>
      </c>
      <c r="D171" s="347">
        <f t="shared" si="251"/>
        <v>522430850.19</v>
      </c>
      <c r="E171" s="347">
        <f t="shared" si="268"/>
        <v>2418661.34</v>
      </c>
      <c r="F171" s="348">
        <f t="shared" si="230"/>
        <v>20</v>
      </c>
      <c r="G171" s="349">
        <f t="shared" si="260"/>
        <v>483732.27</v>
      </c>
      <c r="H171" s="350">
        <f t="shared" si="261"/>
        <v>2902393.61</v>
      </c>
      <c r="I171" s="350">
        <v>0</v>
      </c>
      <c r="J171" s="303" t="str">
        <f t="shared" si="263"/>
        <v>-</v>
      </c>
      <c r="K171" s="350">
        <f t="shared" si="269"/>
        <v>522430850.19</v>
      </c>
      <c r="L171" s="350">
        <f t="shared" si="218"/>
        <v>0</v>
      </c>
      <c r="M171" s="350">
        <f t="shared" si="265"/>
        <v>522430850.19</v>
      </c>
      <c r="N171" s="350">
        <f t="shared" si="270"/>
        <v>441163828.72000003</v>
      </c>
    </row>
    <row r="172" spans="1:14" x14ac:dyDescent="0.3">
      <c r="A172" s="346">
        <v>11567</v>
      </c>
      <c r="B172" s="347">
        <f t="shared" si="267"/>
        <v>522430850.19</v>
      </c>
      <c r="C172" s="347">
        <f t="shared" si="211"/>
        <v>0</v>
      </c>
      <c r="D172" s="347">
        <f t="shared" si="251"/>
        <v>522430850.19</v>
      </c>
      <c r="E172" s="347">
        <f t="shared" si="268"/>
        <v>2418661.34</v>
      </c>
      <c r="F172" s="348">
        <f t="shared" si="230"/>
        <v>20</v>
      </c>
      <c r="G172" s="349">
        <f t="shared" si="260"/>
        <v>483732.27</v>
      </c>
      <c r="H172" s="350">
        <f t="shared" si="261"/>
        <v>2902393.61</v>
      </c>
      <c r="I172" s="350">
        <v>0</v>
      </c>
      <c r="J172" s="303" t="str">
        <f t="shared" si="263"/>
        <v>-</v>
      </c>
      <c r="K172" s="350">
        <f t="shared" si="269"/>
        <v>522430850.19</v>
      </c>
      <c r="L172" s="350">
        <f t="shared" si="218"/>
        <v>0</v>
      </c>
      <c r="M172" s="350">
        <f t="shared" si="265"/>
        <v>522430850.19</v>
      </c>
      <c r="N172" s="350">
        <f t="shared" si="270"/>
        <v>441163828.72000003</v>
      </c>
    </row>
    <row r="173" spans="1:14" x14ac:dyDescent="0.3">
      <c r="A173" s="346">
        <v>11597</v>
      </c>
      <c r="B173" s="347">
        <f t="shared" si="267"/>
        <v>522430850.19</v>
      </c>
      <c r="C173" s="347">
        <f t="shared" si="211"/>
        <v>0</v>
      </c>
      <c r="D173" s="347">
        <f t="shared" si="251"/>
        <v>522430850.19</v>
      </c>
      <c r="E173" s="347">
        <f t="shared" si="268"/>
        <v>2418661.34</v>
      </c>
      <c r="F173" s="348">
        <f t="shared" si="230"/>
        <v>20</v>
      </c>
      <c r="G173" s="349">
        <f t="shared" si="260"/>
        <v>483732.27</v>
      </c>
      <c r="H173" s="350">
        <f t="shared" si="261"/>
        <v>2902393.61</v>
      </c>
      <c r="I173" s="350">
        <f t="shared" ref="I173" si="273">SUM(H170:H172)</f>
        <v>8707180.8300000001</v>
      </c>
      <c r="J173" s="303">
        <f t="shared" si="263"/>
        <v>11616</v>
      </c>
      <c r="K173" s="350">
        <f t="shared" si="269"/>
        <v>522430850.19</v>
      </c>
      <c r="L173" s="350">
        <f t="shared" si="218"/>
        <v>0</v>
      </c>
      <c r="M173" s="350">
        <f t="shared" si="265"/>
        <v>522430850.19</v>
      </c>
      <c r="N173" s="350">
        <f t="shared" si="270"/>
        <v>449871009.55000001</v>
      </c>
    </row>
    <row r="174" spans="1:14" x14ac:dyDescent="0.3">
      <c r="A174" s="346">
        <v>11628</v>
      </c>
      <c r="B174" s="347">
        <f t="shared" si="267"/>
        <v>522430850.19</v>
      </c>
      <c r="C174" s="347">
        <f t="shared" si="211"/>
        <v>0</v>
      </c>
      <c r="D174" s="347">
        <f t="shared" si="251"/>
        <v>522430850.19</v>
      </c>
      <c r="E174" s="347">
        <f t="shared" si="268"/>
        <v>2418661.34</v>
      </c>
      <c r="F174" s="348">
        <f t="shared" si="230"/>
        <v>20</v>
      </c>
      <c r="G174" s="349">
        <f t="shared" si="260"/>
        <v>483732.27</v>
      </c>
      <c r="H174" s="350">
        <f t="shared" si="261"/>
        <v>2902393.61</v>
      </c>
      <c r="I174" s="350">
        <v>0</v>
      </c>
      <c r="J174" s="303" t="str">
        <f t="shared" si="263"/>
        <v>-</v>
      </c>
      <c r="K174" s="350">
        <f t="shared" si="269"/>
        <v>522430850.19</v>
      </c>
      <c r="L174" s="350">
        <f t="shared" si="218"/>
        <v>0</v>
      </c>
      <c r="M174" s="350">
        <f t="shared" si="265"/>
        <v>522430850.19</v>
      </c>
      <c r="N174" s="350">
        <f t="shared" si="270"/>
        <v>449871009.55000001</v>
      </c>
    </row>
    <row r="175" spans="1:14" ht="19.5" thickBot="1" x14ac:dyDescent="0.35">
      <c r="A175" s="335">
        <v>11658</v>
      </c>
      <c r="B175" s="336">
        <f t="shared" si="267"/>
        <v>522430850.19</v>
      </c>
      <c r="C175" s="336">
        <f t="shared" si="211"/>
        <v>0</v>
      </c>
      <c r="D175" s="336">
        <f t="shared" si="251"/>
        <v>522430850.19</v>
      </c>
      <c r="E175" s="336">
        <f t="shared" si="268"/>
        <v>2418661.34</v>
      </c>
      <c r="F175" s="337">
        <f t="shared" si="230"/>
        <v>20</v>
      </c>
      <c r="G175" s="338">
        <f t="shared" si="260"/>
        <v>483732.27</v>
      </c>
      <c r="H175" s="339">
        <f t="shared" si="261"/>
        <v>2902393.61</v>
      </c>
      <c r="I175" s="339">
        <v>0</v>
      </c>
      <c r="J175" s="290" t="str">
        <f t="shared" si="263"/>
        <v>-</v>
      </c>
      <c r="K175" s="339">
        <f t="shared" si="269"/>
        <v>522430850.19</v>
      </c>
      <c r="L175" s="339">
        <f t="shared" si="218"/>
        <v>0</v>
      </c>
      <c r="M175" s="339">
        <f t="shared" si="265"/>
        <v>522430850.19</v>
      </c>
      <c r="N175" s="339">
        <f t="shared" si="270"/>
        <v>449871009.55000001</v>
      </c>
    </row>
    <row r="176" spans="1:14" s="351" customFormat="1" ht="19.5" thickBot="1" x14ac:dyDescent="0.35">
      <c r="A176" s="340">
        <f>A163+1</f>
        <v>2031</v>
      </c>
      <c r="B176" s="341">
        <f t="shared" ref="B176" si="274">B164</f>
        <v>522430850.19</v>
      </c>
      <c r="C176" s="341">
        <f t="shared" si="211"/>
        <v>0</v>
      </c>
      <c r="D176" s="341">
        <f t="shared" si="251"/>
        <v>522430850.19</v>
      </c>
      <c r="E176" s="341">
        <f t="shared" ref="E176" si="275">SUM(E164:E175)</f>
        <v>29023936.079999998</v>
      </c>
      <c r="F176" s="342">
        <f t="shared" si="230"/>
        <v>20</v>
      </c>
      <c r="G176" s="343">
        <f t="shared" ref="G176:I176" si="276">SUM(G164:G175)</f>
        <v>5804787.2400000002</v>
      </c>
      <c r="H176" s="344">
        <f t="shared" si="276"/>
        <v>34828723.32</v>
      </c>
      <c r="I176" s="344">
        <f t="shared" si="276"/>
        <v>34828723.32</v>
      </c>
      <c r="J176" s="296"/>
      <c r="K176" s="344">
        <f t="shared" si="269"/>
        <v>522430850.19</v>
      </c>
      <c r="L176" s="344">
        <f t="shared" ref="L176" si="277">L175</f>
        <v>0</v>
      </c>
      <c r="M176" s="344">
        <f t="shared" ref="M176" si="278">M175</f>
        <v>522430850.19</v>
      </c>
      <c r="N176" s="344">
        <f t="shared" ref="N176" si="279">N175</f>
        <v>449871009.55000001</v>
      </c>
    </row>
    <row r="177" spans="1:14" x14ac:dyDescent="0.3">
      <c r="A177" s="330">
        <v>11689</v>
      </c>
      <c r="B177" s="331">
        <f t="shared" ref="B177" si="280">B175</f>
        <v>522430850.19</v>
      </c>
      <c r="C177" s="331">
        <f t="shared" si="211"/>
        <v>0</v>
      </c>
      <c r="D177" s="331">
        <f t="shared" si="251"/>
        <v>522430850.19</v>
      </c>
      <c r="E177" s="331">
        <f t="shared" ref="E177" si="281">E164</f>
        <v>2418661.34</v>
      </c>
      <c r="F177" s="332">
        <f t="shared" si="230"/>
        <v>20</v>
      </c>
      <c r="G177" s="333">
        <f t="shared" ref="G177:G188" si="282">E177*F177/100</f>
        <v>483732.27</v>
      </c>
      <c r="H177" s="334">
        <f t="shared" ref="H177:H188" si="283">G177+E177</f>
        <v>2902393.61</v>
      </c>
      <c r="I177" s="334">
        <f t="shared" ref="I177" si="284">SUM(H173:H175)</f>
        <v>8707180.8300000001</v>
      </c>
      <c r="J177" s="284">
        <f t="shared" ref="J177:J188" si="285">IF(I177=0,"-",A177+19)</f>
        <v>11708</v>
      </c>
      <c r="K177" s="334">
        <f t="shared" ref="K177" si="286">K175</f>
        <v>522430850.19</v>
      </c>
      <c r="L177" s="334">
        <f t="shared" si="218"/>
        <v>0</v>
      </c>
      <c r="M177" s="334">
        <f t="shared" ref="M177:M188" si="287">K177</f>
        <v>522430850.19</v>
      </c>
      <c r="N177" s="334">
        <f t="shared" ref="N177" si="288">N175+I177</f>
        <v>458578190.38</v>
      </c>
    </row>
    <row r="178" spans="1:14" x14ac:dyDescent="0.3">
      <c r="A178" s="346">
        <v>11720</v>
      </c>
      <c r="B178" s="347">
        <f t="shared" ref="B178:B188" si="289">B177</f>
        <v>522430850.19</v>
      </c>
      <c r="C178" s="347">
        <f t="shared" si="211"/>
        <v>0</v>
      </c>
      <c r="D178" s="347">
        <f t="shared" si="251"/>
        <v>522430850.19</v>
      </c>
      <c r="E178" s="347">
        <f t="shared" ref="E178:E188" si="290">E177</f>
        <v>2418661.34</v>
      </c>
      <c r="F178" s="348">
        <f t="shared" si="230"/>
        <v>20</v>
      </c>
      <c r="G178" s="349">
        <f t="shared" si="282"/>
        <v>483732.27</v>
      </c>
      <c r="H178" s="350">
        <f t="shared" si="283"/>
        <v>2902393.61</v>
      </c>
      <c r="I178" s="350">
        <v>0</v>
      </c>
      <c r="J178" s="303" t="str">
        <f t="shared" si="285"/>
        <v>-</v>
      </c>
      <c r="K178" s="350">
        <f t="shared" ref="K178:K189" si="291">K177</f>
        <v>522430850.19</v>
      </c>
      <c r="L178" s="350">
        <f t="shared" si="218"/>
        <v>0</v>
      </c>
      <c r="M178" s="350">
        <f t="shared" si="287"/>
        <v>522430850.19</v>
      </c>
      <c r="N178" s="350">
        <f t="shared" ref="N178" si="292">N177+I178</f>
        <v>458578190.38</v>
      </c>
    </row>
    <row r="179" spans="1:14" x14ac:dyDescent="0.3">
      <c r="A179" s="346">
        <v>11749</v>
      </c>
      <c r="B179" s="347">
        <f t="shared" si="289"/>
        <v>522430850.19</v>
      </c>
      <c r="C179" s="347">
        <f t="shared" si="211"/>
        <v>0</v>
      </c>
      <c r="D179" s="347">
        <f t="shared" si="251"/>
        <v>522430850.19</v>
      </c>
      <c r="E179" s="347">
        <f t="shared" si="290"/>
        <v>2418661.34</v>
      </c>
      <c r="F179" s="348">
        <f t="shared" si="230"/>
        <v>20</v>
      </c>
      <c r="G179" s="349">
        <f t="shared" si="282"/>
        <v>483732.27</v>
      </c>
      <c r="H179" s="350">
        <f t="shared" si="283"/>
        <v>2902393.61</v>
      </c>
      <c r="I179" s="350">
        <v>0</v>
      </c>
      <c r="J179" s="303" t="str">
        <f t="shared" si="285"/>
        <v>-</v>
      </c>
      <c r="K179" s="350">
        <f t="shared" si="291"/>
        <v>522430850.19</v>
      </c>
      <c r="L179" s="350">
        <f t="shared" si="218"/>
        <v>0</v>
      </c>
      <c r="M179" s="350">
        <f t="shared" si="287"/>
        <v>522430850.19</v>
      </c>
      <c r="N179" s="350">
        <f t="shared" si="270"/>
        <v>458578190.38</v>
      </c>
    </row>
    <row r="180" spans="1:14" x14ac:dyDescent="0.3">
      <c r="A180" s="346">
        <v>11780</v>
      </c>
      <c r="B180" s="347">
        <f t="shared" si="289"/>
        <v>522430850.19</v>
      </c>
      <c r="C180" s="347">
        <f t="shared" si="211"/>
        <v>0</v>
      </c>
      <c r="D180" s="347">
        <f t="shared" si="251"/>
        <v>522430850.19</v>
      </c>
      <c r="E180" s="347">
        <f t="shared" si="290"/>
        <v>2418661.34</v>
      </c>
      <c r="F180" s="348">
        <f t="shared" si="230"/>
        <v>20</v>
      </c>
      <c r="G180" s="349">
        <f t="shared" si="282"/>
        <v>483732.27</v>
      </c>
      <c r="H180" s="350">
        <f t="shared" si="283"/>
        <v>2902393.61</v>
      </c>
      <c r="I180" s="350">
        <f t="shared" ref="I180" si="293">SUM(H177:H179)</f>
        <v>8707180.8300000001</v>
      </c>
      <c r="J180" s="303">
        <f t="shared" si="285"/>
        <v>11799</v>
      </c>
      <c r="K180" s="350">
        <f t="shared" si="291"/>
        <v>522430850.19</v>
      </c>
      <c r="L180" s="350">
        <f t="shared" si="218"/>
        <v>0</v>
      </c>
      <c r="M180" s="350">
        <f t="shared" si="287"/>
        <v>522430850.19</v>
      </c>
      <c r="N180" s="350">
        <f t="shared" si="270"/>
        <v>467285371.20999998</v>
      </c>
    </row>
    <row r="181" spans="1:14" x14ac:dyDescent="0.3">
      <c r="A181" s="346">
        <v>11810</v>
      </c>
      <c r="B181" s="347">
        <f t="shared" si="289"/>
        <v>522430850.19</v>
      </c>
      <c r="C181" s="347">
        <f t="shared" si="211"/>
        <v>0</v>
      </c>
      <c r="D181" s="347">
        <f t="shared" si="251"/>
        <v>522430850.19</v>
      </c>
      <c r="E181" s="347">
        <f t="shared" si="290"/>
        <v>2418661.34</v>
      </c>
      <c r="F181" s="348">
        <f t="shared" si="230"/>
        <v>20</v>
      </c>
      <c r="G181" s="349">
        <f t="shared" si="282"/>
        <v>483732.27</v>
      </c>
      <c r="H181" s="350">
        <f t="shared" si="283"/>
        <v>2902393.61</v>
      </c>
      <c r="I181" s="350">
        <v>0</v>
      </c>
      <c r="J181" s="303" t="str">
        <f t="shared" si="285"/>
        <v>-</v>
      </c>
      <c r="K181" s="350">
        <f t="shared" si="291"/>
        <v>522430850.19</v>
      </c>
      <c r="L181" s="350">
        <f t="shared" si="218"/>
        <v>0</v>
      </c>
      <c r="M181" s="350">
        <f t="shared" si="287"/>
        <v>522430850.19</v>
      </c>
      <c r="N181" s="350">
        <f t="shared" si="270"/>
        <v>467285371.20999998</v>
      </c>
    </row>
    <row r="182" spans="1:14" x14ac:dyDescent="0.3">
      <c r="A182" s="346">
        <v>11841</v>
      </c>
      <c r="B182" s="347">
        <f t="shared" si="289"/>
        <v>522430850.19</v>
      </c>
      <c r="C182" s="347">
        <f t="shared" si="211"/>
        <v>0</v>
      </c>
      <c r="D182" s="347">
        <f t="shared" si="251"/>
        <v>522430850.19</v>
      </c>
      <c r="E182" s="347">
        <f t="shared" si="290"/>
        <v>2418661.34</v>
      </c>
      <c r="F182" s="348">
        <f t="shared" si="230"/>
        <v>20</v>
      </c>
      <c r="G182" s="349">
        <f t="shared" si="282"/>
        <v>483732.27</v>
      </c>
      <c r="H182" s="350">
        <f t="shared" si="283"/>
        <v>2902393.61</v>
      </c>
      <c r="I182" s="350">
        <v>0</v>
      </c>
      <c r="J182" s="303" t="str">
        <f t="shared" si="285"/>
        <v>-</v>
      </c>
      <c r="K182" s="350">
        <f t="shared" si="291"/>
        <v>522430850.19</v>
      </c>
      <c r="L182" s="350">
        <f t="shared" si="218"/>
        <v>0</v>
      </c>
      <c r="M182" s="350">
        <f t="shared" si="287"/>
        <v>522430850.19</v>
      </c>
      <c r="N182" s="350">
        <f t="shared" si="270"/>
        <v>467285371.20999998</v>
      </c>
    </row>
    <row r="183" spans="1:14" x14ac:dyDescent="0.3">
      <c r="A183" s="346">
        <v>11871</v>
      </c>
      <c r="B183" s="347">
        <f t="shared" si="289"/>
        <v>522430850.19</v>
      </c>
      <c r="C183" s="347">
        <f t="shared" si="211"/>
        <v>0</v>
      </c>
      <c r="D183" s="347">
        <f t="shared" si="251"/>
        <v>522430850.19</v>
      </c>
      <c r="E183" s="347">
        <f t="shared" si="290"/>
        <v>2418661.34</v>
      </c>
      <c r="F183" s="348">
        <f t="shared" si="230"/>
        <v>20</v>
      </c>
      <c r="G183" s="349">
        <f t="shared" si="282"/>
        <v>483732.27</v>
      </c>
      <c r="H183" s="350">
        <f t="shared" si="283"/>
        <v>2902393.61</v>
      </c>
      <c r="I183" s="350">
        <f t="shared" ref="I183" si="294">SUM(H180:H182)</f>
        <v>8707180.8300000001</v>
      </c>
      <c r="J183" s="303">
        <f t="shared" si="285"/>
        <v>11890</v>
      </c>
      <c r="K183" s="350">
        <f t="shared" si="291"/>
        <v>522430850.19</v>
      </c>
      <c r="L183" s="350">
        <f t="shared" si="218"/>
        <v>0</v>
      </c>
      <c r="M183" s="350">
        <f t="shared" si="287"/>
        <v>522430850.19</v>
      </c>
      <c r="N183" s="350">
        <f t="shared" si="270"/>
        <v>475992552.04000002</v>
      </c>
    </row>
    <row r="184" spans="1:14" x14ac:dyDescent="0.3">
      <c r="A184" s="346">
        <v>11902</v>
      </c>
      <c r="B184" s="347">
        <f t="shared" si="289"/>
        <v>522430850.19</v>
      </c>
      <c r="C184" s="347">
        <f t="shared" si="211"/>
        <v>0</v>
      </c>
      <c r="D184" s="347">
        <f t="shared" si="251"/>
        <v>522430850.19</v>
      </c>
      <c r="E184" s="347">
        <f t="shared" si="290"/>
        <v>2418661.34</v>
      </c>
      <c r="F184" s="348">
        <f t="shared" si="230"/>
        <v>20</v>
      </c>
      <c r="G184" s="349">
        <f t="shared" si="282"/>
        <v>483732.27</v>
      </c>
      <c r="H184" s="350">
        <f t="shared" si="283"/>
        <v>2902393.61</v>
      </c>
      <c r="I184" s="350">
        <v>0</v>
      </c>
      <c r="J184" s="303" t="str">
        <f t="shared" si="285"/>
        <v>-</v>
      </c>
      <c r="K184" s="350">
        <f t="shared" si="291"/>
        <v>522430850.19</v>
      </c>
      <c r="L184" s="350">
        <f t="shared" si="218"/>
        <v>0</v>
      </c>
      <c r="M184" s="350">
        <f t="shared" si="287"/>
        <v>522430850.19</v>
      </c>
      <c r="N184" s="350">
        <f t="shared" si="270"/>
        <v>475992552.04000002</v>
      </c>
    </row>
    <row r="185" spans="1:14" x14ac:dyDescent="0.3">
      <c r="A185" s="346">
        <v>11933</v>
      </c>
      <c r="B185" s="347">
        <f t="shared" si="289"/>
        <v>522430850.19</v>
      </c>
      <c r="C185" s="347">
        <f t="shared" si="211"/>
        <v>0</v>
      </c>
      <c r="D185" s="347">
        <f t="shared" si="251"/>
        <v>522430850.19</v>
      </c>
      <c r="E185" s="347">
        <f t="shared" si="290"/>
        <v>2418661.34</v>
      </c>
      <c r="F185" s="348">
        <f t="shared" si="230"/>
        <v>20</v>
      </c>
      <c r="G185" s="349">
        <f t="shared" si="282"/>
        <v>483732.27</v>
      </c>
      <c r="H185" s="350">
        <f t="shared" si="283"/>
        <v>2902393.61</v>
      </c>
      <c r="I185" s="350">
        <v>0</v>
      </c>
      <c r="J185" s="303" t="str">
        <f t="shared" si="285"/>
        <v>-</v>
      </c>
      <c r="K185" s="350">
        <f t="shared" si="291"/>
        <v>522430850.19</v>
      </c>
      <c r="L185" s="350">
        <f t="shared" si="218"/>
        <v>0</v>
      </c>
      <c r="M185" s="350">
        <f t="shared" si="287"/>
        <v>522430850.19</v>
      </c>
      <c r="N185" s="350">
        <f t="shared" si="270"/>
        <v>475992552.04000002</v>
      </c>
    </row>
    <row r="186" spans="1:14" x14ac:dyDescent="0.3">
      <c r="A186" s="346">
        <v>11963</v>
      </c>
      <c r="B186" s="347">
        <f t="shared" si="289"/>
        <v>522430850.19</v>
      </c>
      <c r="C186" s="347">
        <f t="shared" si="211"/>
        <v>0</v>
      </c>
      <c r="D186" s="347">
        <f t="shared" si="251"/>
        <v>522430850.19</v>
      </c>
      <c r="E186" s="347">
        <f t="shared" si="290"/>
        <v>2418661.34</v>
      </c>
      <c r="F186" s="348">
        <f t="shared" si="230"/>
        <v>20</v>
      </c>
      <c r="G186" s="349">
        <f t="shared" si="282"/>
        <v>483732.27</v>
      </c>
      <c r="H186" s="350">
        <f t="shared" si="283"/>
        <v>2902393.61</v>
      </c>
      <c r="I186" s="350">
        <f t="shared" ref="I186" si="295">SUM(H183:H185)</f>
        <v>8707180.8300000001</v>
      </c>
      <c r="J186" s="303">
        <f t="shared" si="285"/>
        <v>11982</v>
      </c>
      <c r="K186" s="350">
        <f t="shared" si="291"/>
        <v>522430850.19</v>
      </c>
      <c r="L186" s="350">
        <f t="shared" si="218"/>
        <v>0</v>
      </c>
      <c r="M186" s="350">
        <f t="shared" si="287"/>
        <v>522430850.19</v>
      </c>
      <c r="N186" s="350">
        <f t="shared" si="270"/>
        <v>484699732.87</v>
      </c>
    </row>
    <row r="187" spans="1:14" x14ac:dyDescent="0.3">
      <c r="A187" s="346">
        <v>11994</v>
      </c>
      <c r="B187" s="347">
        <f t="shared" si="289"/>
        <v>522430850.19</v>
      </c>
      <c r="C187" s="347">
        <f t="shared" si="211"/>
        <v>0</v>
      </c>
      <c r="D187" s="347">
        <f t="shared" si="251"/>
        <v>522430850.19</v>
      </c>
      <c r="E187" s="347">
        <f t="shared" si="290"/>
        <v>2418661.34</v>
      </c>
      <c r="F187" s="348">
        <f t="shared" si="230"/>
        <v>20</v>
      </c>
      <c r="G187" s="349">
        <f t="shared" si="282"/>
        <v>483732.27</v>
      </c>
      <c r="H187" s="350">
        <f t="shared" si="283"/>
        <v>2902393.61</v>
      </c>
      <c r="I187" s="350">
        <v>0</v>
      </c>
      <c r="J187" s="303" t="str">
        <f t="shared" si="285"/>
        <v>-</v>
      </c>
      <c r="K187" s="350">
        <f t="shared" si="291"/>
        <v>522430850.19</v>
      </c>
      <c r="L187" s="350">
        <f t="shared" si="218"/>
        <v>0</v>
      </c>
      <c r="M187" s="350">
        <f t="shared" si="287"/>
        <v>522430850.19</v>
      </c>
      <c r="N187" s="350">
        <f t="shared" si="270"/>
        <v>484699732.87</v>
      </c>
    </row>
    <row r="188" spans="1:14" ht="19.5" thickBot="1" x14ac:dyDescent="0.35">
      <c r="A188" s="335">
        <v>12024</v>
      </c>
      <c r="B188" s="336">
        <f t="shared" si="289"/>
        <v>522430850.19</v>
      </c>
      <c r="C188" s="336">
        <f t="shared" si="211"/>
        <v>0</v>
      </c>
      <c r="D188" s="336">
        <f t="shared" si="251"/>
        <v>522430850.19</v>
      </c>
      <c r="E188" s="336">
        <f t="shared" si="290"/>
        <v>2418661.34</v>
      </c>
      <c r="F188" s="337">
        <f t="shared" si="230"/>
        <v>20</v>
      </c>
      <c r="G188" s="338">
        <f t="shared" si="282"/>
        <v>483732.27</v>
      </c>
      <c r="H188" s="339">
        <f t="shared" si="283"/>
        <v>2902393.61</v>
      </c>
      <c r="I188" s="339">
        <v>0</v>
      </c>
      <c r="J188" s="290" t="str">
        <f t="shared" si="285"/>
        <v>-</v>
      </c>
      <c r="K188" s="339">
        <f t="shared" si="291"/>
        <v>522430850.19</v>
      </c>
      <c r="L188" s="339">
        <f t="shared" si="218"/>
        <v>0</v>
      </c>
      <c r="M188" s="339">
        <f t="shared" si="287"/>
        <v>522430850.19</v>
      </c>
      <c r="N188" s="339">
        <f t="shared" si="270"/>
        <v>484699732.87</v>
      </c>
    </row>
    <row r="189" spans="1:14" s="351" customFormat="1" ht="19.5" thickBot="1" x14ac:dyDescent="0.35">
      <c r="A189" s="340">
        <f>A176+1</f>
        <v>2032</v>
      </c>
      <c r="B189" s="341">
        <f t="shared" ref="B189" si="296">B177</f>
        <v>522430850.19</v>
      </c>
      <c r="C189" s="341">
        <f t="shared" si="211"/>
        <v>0</v>
      </c>
      <c r="D189" s="341">
        <f t="shared" si="251"/>
        <v>522430850.19</v>
      </c>
      <c r="E189" s="341">
        <f t="shared" ref="E189" si="297">SUM(E177:E188)</f>
        <v>29023936.079999998</v>
      </c>
      <c r="F189" s="342">
        <f t="shared" si="230"/>
        <v>20</v>
      </c>
      <c r="G189" s="343">
        <f t="shared" ref="G189:I189" si="298">SUM(G177:G188)</f>
        <v>5804787.2400000002</v>
      </c>
      <c r="H189" s="344">
        <f t="shared" si="298"/>
        <v>34828723.32</v>
      </c>
      <c r="I189" s="344">
        <f t="shared" si="298"/>
        <v>34828723.32</v>
      </c>
      <c r="J189" s="296"/>
      <c r="K189" s="344">
        <f t="shared" si="291"/>
        <v>522430850.19</v>
      </c>
      <c r="L189" s="344">
        <f t="shared" ref="L189" si="299">L188</f>
        <v>0</v>
      </c>
      <c r="M189" s="344">
        <f t="shared" ref="M189" si="300">M188</f>
        <v>522430850.19</v>
      </c>
      <c r="N189" s="344">
        <f t="shared" ref="N189" si="301">N188</f>
        <v>484699732.87</v>
      </c>
    </row>
    <row r="190" spans="1:14" x14ac:dyDescent="0.3">
      <c r="A190" s="346">
        <v>12055</v>
      </c>
      <c r="B190" s="331">
        <f t="shared" ref="B190" si="302">B188</f>
        <v>522430850.19</v>
      </c>
      <c r="C190" s="331">
        <f t="shared" si="211"/>
        <v>0</v>
      </c>
      <c r="D190" s="331">
        <f>B190</f>
        <v>522430850.19</v>
      </c>
      <c r="E190" s="347">
        <f>E188</f>
        <v>2418661.34</v>
      </c>
      <c r="F190" s="332">
        <f t="shared" si="230"/>
        <v>20</v>
      </c>
      <c r="G190" s="333">
        <f t="shared" ref="G190:G201" si="303">E190*F190/100</f>
        <v>483732.27</v>
      </c>
      <c r="H190" s="334">
        <f t="shared" ref="H190:H201" si="304">G190+E190</f>
        <v>2902393.61</v>
      </c>
      <c r="I190" s="334">
        <f t="shared" ref="I190" si="305">SUM(H186:H188)</f>
        <v>8707180.8300000001</v>
      </c>
      <c r="J190" s="284">
        <f t="shared" ref="J190:J201" si="306">IF(I190=0,"-",A190+19)</f>
        <v>12074</v>
      </c>
      <c r="K190" s="334">
        <f>B191</f>
        <v>522430850.19</v>
      </c>
      <c r="L190" s="334">
        <f t="shared" ref="L190:L200" si="307">C191</f>
        <v>522430850.19</v>
      </c>
      <c r="M190" s="334">
        <f t="shared" ref="M190:M200" si="308">D191</f>
        <v>0</v>
      </c>
      <c r="N190" s="334">
        <f t="shared" ref="N190" si="309">N188+I190</f>
        <v>493406913.69999999</v>
      </c>
    </row>
    <row r="191" spans="1:14" x14ac:dyDescent="0.3">
      <c r="A191" s="346">
        <v>12086</v>
      </c>
      <c r="B191" s="347">
        <f t="shared" ref="B191:B201" si="310">B190</f>
        <v>522430850.19</v>
      </c>
      <c r="C191" s="347">
        <f t="shared" si="211"/>
        <v>522430850.19</v>
      </c>
      <c r="D191" s="347">
        <v>0</v>
      </c>
      <c r="E191" s="347">
        <f>E190</f>
        <v>2418661.34</v>
      </c>
      <c r="F191" s="348">
        <f t="shared" si="230"/>
        <v>20</v>
      </c>
      <c r="G191" s="349">
        <f t="shared" si="303"/>
        <v>483732.27</v>
      </c>
      <c r="H191" s="350">
        <f t="shared" si="304"/>
        <v>2902393.61</v>
      </c>
      <c r="I191" s="350">
        <v>0</v>
      </c>
      <c r="J191" s="303" t="str">
        <f t="shared" si="306"/>
        <v>-</v>
      </c>
      <c r="K191" s="350">
        <f t="shared" ref="K191:K200" si="311">B192</f>
        <v>522430850.19</v>
      </c>
      <c r="L191" s="350">
        <f t="shared" si="307"/>
        <v>522430850.19</v>
      </c>
      <c r="M191" s="350">
        <f t="shared" si="308"/>
        <v>0</v>
      </c>
      <c r="N191" s="350">
        <f t="shared" ref="N191" si="312">N190+I191</f>
        <v>493406913.69999999</v>
      </c>
    </row>
    <row r="192" spans="1:14" x14ac:dyDescent="0.3">
      <c r="A192" s="346">
        <v>12114</v>
      </c>
      <c r="B192" s="347">
        <f t="shared" si="310"/>
        <v>522430850.19</v>
      </c>
      <c r="C192" s="347">
        <f t="shared" si="211"/>
        <v>522430850.19</v>
      </c>
      <c r="D192" s="347">
        <v>0</v>
      </c>
      <c r="E192" s="347">
        <f t="shared" ref="E192:E198" si="313">E191</f>
        <v>2418661.34</v>
      </c>
      <c r="F192" s="348">
        <f t="shared" si="230"/>
        <v>20</v>
      </c>
      <c r="G192" s="349">
        <f t="shared" si="303"/>
        <v>483732.27</v>
      </c>
      <c r="H192" s="350">
        <f t="shared" si="304"/>
        <v>2902393.61</v>
      </c>
      <c r="I192" s="350">
        <v>0</v>
      </c>
      <c r="J192" s="303" t="str">
        <f t="shared" si="306"/>
        <v>-</v>
      </c>
      <c r="K192" s="350">
        <f t="shared" si="311"/>
        <v>522430850.19</v>
      </c>
      <c r="L192" s="350">
        <f t="shared" si="307"/>
        <v>522430850.19</v>
      </c>
      <c r="M192" s="350">
        <f t="shared" si="308"/>
        <v>0</v>
      </c>
      <c r="N192" s="350">
        <f t="shared" si="270"/>
        <v>493406913.69999999</v>
      </c>
    </row>
    <row r="193" spans="1:14" x14ac:dyDescent="0.3">
      <c r="A193" s="346">
        <v>12145</v>
      </c>
      <c r="B193" s="347">
        <f t="shared" si="310"/>
        <v>522430850.19</v>
      </c>
      <c r="C193" s="347">
        <f t="shared" si="211"/>
        <v>522430850.19</v>
      </c>
      <c r="D193" s="347">
        <v>0</v>
      </c>
      <c r="E193" s="347">
        <f t="shared" si="313"/>
        <v>2418661.34</v>
      </c>
      <c r="F193" s="348">
        <f t="shared" si="230"/>
        <v>20</v>
      </c>
      <c r="G193" s="349">
        <f t="shared" si="303"/>
        <v>483732.27</v>
      </c>
      <c r="H193" s="350">
        <f t="shared" si="304"/>
        <v>2902393.61</v>
      </c>
      <c r="I193" s="350">
        <f t="shared" ref="I193" si="314">SUM(H190:H192)</f>
        <v>8707180.8300000001</v>
      </c>
      <c r="J193" s="303">
        <f t="shared" si="306"/>
        <v>12164</v>
      </c>
      <c r="K193" s="350">
        <f t="shared" si="311"/>
        <v>522430850.19</v>
      </c>
      <c r="L193" s="350">
        <f t="shared" si="307"/>
        <v>522430850.19</v>
      </c>
      <c r="M193" s="350">
        <f t="shared" si="308"/>
        <v>0</v>
      </c>
      <c r="N193" s="350">
        <f t="shared" si="270"/>
        <v>502114094.52999997</v>
      </c>
    </row>
    <row r="194" spans="1:14" x14ac:dyDescent="0.3">
      <c r="A194" s="346">
        <v>12175</v>
      </c>
      <c r="B194" s="347">
        <f t="shared" si="310"/>
        <v>522430850.19</v>
      </c>
      <c r="C194" s="347">
        <f t="shared" si="211"/>
        <v>522430850.19</v>
      </c>
      <c r="D194" s="347">
        <v>0</v>
      </c>
      <c r="E194" s="347">
        <f t="shared" si="313"/>
        <v>2418661.34</v>
      </c>
      <c r="F194" s="348">
        <f t="shared" si="230"/>
        <v>20</v>
      </c>
      <c r="G194" s="349">
        <f t="shared" si="303"/>
        <v>483732.27</v>
      </c>
      <c r="H194" s="350">
        <f t="shared" si="304"/>
        <v>2902393.61</v>
      </c>
      <c r="I194" s="350">
        <v>0</v>
      </c>
      <c r="J194" s="303" t="str">
        <f t="shared" si="306"/>
        <v>-</v>
      </c>
      <c r="K194" s="350">
        <f t="shared" si="311"/>
        <v>522430850.19</v>
      </c>
      <c r="L194" s="350">
        <f t="shared" si="307"/>
        <v>522430850.19</v>
      </c>
      <c r="M194" s="350">
        <f t="shared" si="308"/>
        <v>0</v>
      </c>
      <c r="N194" s="350">
        <f t="shared" si="270"/>
        <v>502114094.52999997</v>
      </c>
    </row>
    <row r="195" spans="1:14" x14ac:dyDescent="0.3">
      <c r="A195" s="346">
        <v>12206</v>
      </c>
      <c r="B195" s="347">
        <f t="shared" si="310"/>
        <v>522430850.19</v>
      </c>
      <c r="C195" s="347">
        <f t="shared" si="211"/>
        <v>522430850.19</v>
      </c>
      <c r="D195" s="347">
        <v>0</v>
      </c>
      <c r="E195" s="347">
        <f t="shared" si="313"/>
        <v>2418661.34</v>
      </c>
      <c r="F195" s="348">
        <f t="shared" si="230"/>
        <v>20</v>
      </c>
      <c r="G195" s="349">
        <f t="shared" si="303"/>
        <v>483732.27</v>
      </c>
      <c r="H195" s="350">
        <f t="shared" si="304"/>
        <v>2902393.61</v>
      </c>
      <c r="I195" s="350">
        <v>0</v>
      </c>
      <c r="J195" s="303" t="str">
        <f t="shared" si="306"/>
        <v>-</v>
      </c>
      <c r="K195" s="350">
        <f t="shared" si="311"/>
        <v>522430850.19</v>
      </c>
      <c r="L195" s="350">
        <f t="shared" si="307"/>
        <v>522430850.19</v>
      </c>
      <c r="M195" s="350">
        <f t="shared" si="308"/>
        <v>0</v>
      </c>
      <c r="N195" s="350">
        <f t="shared" si="270"/>
        <v>502114094.52999997</v>
      </c>
    </row>
    <row r="196" spans="1:14" x14ac:dyDescent="0.3">
      <c r="A196" s="346">
        <v>12236</v>
      </c>
      <c r="B196" s="347">
        <f t="shared" si="310"/>
        <v>522430850.19</v>
      </c>
      <c r="C196" s="347">
        <f t="shared" si="211"/>
        <v>522430850.19</v>
      </c>
      <c r="D196" s="347">
        <v>0</v>
      </c>
      <c r="E196" s="347">
        <f t="shared" si="313"/>
        <v>2418661.34</v>
      </c>
      <c r="F196" s="348">
        <f t="shared" si="230"/>
        <v>20</v>
      </c>
      <c r="G196" s="349">
        <f t="shared" si="303"/>
        <v>483732.27</v>
      </c>
      <c r="H196" s="350">
        <f t="shared" si="304"/>
        <v>2902393.61</v>
      </c>
      <c r="I196" s="350">
        <f t="shared" ref="I196" si="315">SUM(H193:H195)</f>
        <v>8707180.8300000001</v>
      </c>
      <c r="J196" s="303">
        <f t="shared" si="306"/>
        <v>12255</v>
      </c>
      <c r="K196" s="350">
        <f t="shared" si="311"/>
        <v>522430850.19</v>
      </c>
      <c r="L196" s="350">
        <f t="shared" si="307"/>
        <v>522430850.19</v>
      </c>
      <c r="M196" s="350">
        <f t="shared" si="308"/>
        <v>0</v>
      </c>
      <c r="N196" s="350">
        <f t="shared" si="270"/>
        <v>510821275.36000001</v>
      </c>
    </row>
    <row r="197" spans="1:14" x14ac:dyDescent="0.3">
      <c r="A197" s="346">
        <v>12267</v>
      </c>
      <c r="B197" s="347">
        <f t="shared" si="310"/>
        <v>522430850.19</v>
      </c>
      <c r="C197" s="347">
        <f t="shared" si="211"/>
        <v>522430850.19</v>
      </c>
      <c r="D197" s="347">
        <v>0</v>
      </c>
      <c r="E197" s="347">
        <f t="shared" si="313"/>
        <v>2418661.34</v>
      </c>
      <c r="F197" s="348">
        <f t="shared" si="230"/>
        <v>20</v>
      </c>
      <c r="G197" s="349">
        <f t="shared" si="303"/>
        <v>483732.27</v>
      </c>
      <c r="H197" s="350">
        <f t="shared" si="304"/>
        <v>2902393.61</v>
      </c>
      <c r="I197" s="350">
        <v>0</v>
      </c>
      <c r="J197" s="303" t="str">
        <f t="shared" si="306"/>
        <v>-</v>
      </c>
      <c r="K197" s="350">
        <f t="shared" si="311"/>
        <v>522430850.19</v>
      </c>
      <c r="L197" s="350">
        <f t="shared" si="307"/>
        <v>522430850.19</v>
      </c>
      <c r="M197" s="350">
        <f t="shared" si="308"/>
        <v>0</v>
      </c>
      <c r="N197" s="350">
        <f t="shared" si="270"/>
        <v>510821275.36000001</v>
      </c>
    </row>
    <row r="198" spans="1:14" x14ac:dyDescent="0.3">
      <c r="A198" s="346">
        <v>12298</v>
      </c>
      <c r="B198" s="347">
        <f t="shared" si="310"/>
        <v>522430850.19</v>
      </c>
      <c r="C198" s="347">
        <f t="shared" si="211"/>
        <v>522430850.19</v>
      </c>
      <c r="D198" s="347">
        <v>0</v>
      </c>
      <c r="E198" s="347">
        <f t="shared" si="313"/>
        <v>2418661.34</v>
      </c>
      <c r="F198" s="348">
        <f t="shared" si="230"/>
        <v>20</v>
      </c>
      <c r="G198" s="349">
        <f t="shared" si="303"/>
        <v>483732.27</v>
      </c>
      <c r="H198" s="350">
        <f t="shared" si="304"/>
        <v>2902393.61</v>
      </c>
      <c r="I198" s="350">
        <v>0</v>
      </c>
      <c r="J198" s="303" t="str">
        <f t="shared" si="306"/>
        <v>-</v>
      </c>
      <c r="K198" s="350">
        <f t="shared" si="311"/>
        <v>522430850.19</v>
      </c>
      <c r="L198" s="350">
        <f t="shared" si="307"/>
        <v>522430850.19</v>
      </c>
      <c r="M198" s="350">
        <f t="shared" si="308"/>
        <v>0</v>
      </c>
      <c r="N198" s="350">
        <f t="shared" si="270"/>
        <v>510821275.36000001</v>
      </c>
    </row>
    <row r="199" spans="1:14" x14ac:dyDescent="0.3">
      <c r="A199" s="346">
        <v>12328</v>
      </c>
      <c r="B199" s="347">
        <f t="shared" si="310"/>
        <v>522430850.19</v>
      </c>
      <c r="C199" s="347">
        <f t="shared" si="211"/>
        <v>522430850.19</v>
      </c>
      <c r="D199" s="347">
        <v>0</v>
      </c>
      <c r="E199" s="347">
        <f>E198+0.33</f>
        <v>2418661.67</v>
      </c>
      <c r="F199" s="348">
        <f t="shared" si="230"/>
        <v>20</v>
      </c>
      <c r="G199" s="349">
        <f t="shared" si="303"/>
        <v>483732.33</v>
      </c>
      <c r="H199" s="350">
        <f t="shared" si="304"/>
        <v>2902394</v>
      </c>
      <c r="I199" s="350">
        <f t="shared" ref="I199" si="316">SUM(H196:H198)</f>
        <v>8707180.8300000001</v>
      </c>
      <c r="J199" s="303">
        <f t="shared" si="306"/>
        <v>12347</v>
      </c>
      <c r="K199" s="350">
        <f t="shared" si="311"/>
        <v>522430850.19</v>
      </c>
      <c r="L199" s="350">
        <f t="shared" si="307"/>
        <v>522430850.19</v>
      </c>
      <c r="M199" s="350">
        <f t="shared" si="308"/>
        <v>0</v>
      </c>
      <c r="N199" s="350">
        <f t="shared" si="270"/>
        <v>519528456.19</v>
      </c>
    </row>
    <row r="200" spans="1:14" x14ac:dyDescent="0.3">
      <c r="A200" s="346">
        <v>12359</v>
      </c>
      <c r="B200" s="347">
        <f t="shared" si="310"/>
        <v>522430850.19</v>
      </c>
      <c r="C200" s="347">
        <f t="shared" si="211"/>
        <v>522430850.19</v>
      </c>
      <c r="D200" s="347">
        <v>0</v>
      </c>
      <c r="E200" s="347">
        <v>0</v>
      </c>
      <c r="F200" s="348">
        <f t="shared" si="230"/>
        <v>20</v>
      </c>
      <c r="G200" s="349">
        <f t="shared" si="303"/>
        <v>0</v>
      </c>
      <c r="H200" s="350">
        <f t="shared" si="304"/>
        <v>0</v>
      </c>
      <c r="I200" s="350">
        <v>0</v>
      </c>
      <c r="J200" s="303" t="str">
        <f t="shared" si="306"/>
        <v>-</v>
      </c>
      <c r="K200" s="350">
        <f t="shared" si="311"/>
        <v>522430850.19</v>
      </c>
      <c r="L200" s="350">
        <f t="shared" si="307"/>
        <v>522430850.19</v>
      </c>
      <c r="M200" s="350">
        <f t="shared" si="308"/>
        <v>0</v>
      </c>
      <c r="N200" s="350">
        <f t="shared" si="270"/>
        <v>519528456.19</v>
      </c>
    </row>
    <row r="201" spans="1:14" ht="19.5" thickBot="1" x14ac:dyDescent="0.35">
      <c r="A201" s="346">
        <v>12389</v>
      </c>
      <c r="B201" s="336">
        <f t="shared" si="310"/>
        <v>522430850.19</v>
      </c>
      <c r="C201" s="336">
        <f t="shared" si="211"/>
        <v>522430850.19</v>
      </c>
      <c r="D201" s="336">
        <v>0</v>
      </c>
      <c r="E201" s="347">
        <v>0</v>
      </c>
      <c r="F201" s="337">
        <f t="shared" si="230"/>
        <v>20</v>
      </c>
      <c r="G201" s="338">
        <f t="shared" si="303"/>
        <v>0</v>
      </c>
      <c r="H201" s="339">
        <f t="shared" si="304"/>
        <v>0</v>
      </c>
      <c r="I201" s="339">
        <v>0</v>
      </c>
      <c r="J201" s="290" t="str">
        <f t="shared" si="306"/>
        <v>-</v>
      </c>
      <c r="K201" s="339">
        <f t="shared" ref="K201:K202" si="317">K200</f>
        <v>522430850.19</v>
      </c>
      <c r="L201" s="339">
        <f t="shared" si="218"/>
        <v>522430850.19</v>
      </c>
      <c r="M201" s="339">
        <v>0</v>
      </c>
      <c r="N201" s="339">
        <f t="shared" si="270"/>
        <v>519528456.19</v>
      </c>
    </row>
    <row r="202" spans="1:14" s="351" customFormat="1" ht="19.5" thickBot="1" x14ac:dyDescent="0.35">
      <c r="A202" s="340">
        <f>A189+1</f>
        <v>2033</v>
      </c>
      <c r="B202" s="341">
        <f t="shared" ref="B202" si="318">B190</f>
        <v>522430850.19</v>
      </c>
      <c r="C202" s="341">
        <f t="shared" si="211"/>
        <v>0</v>
      </c>
      <c r="D202" s="341">
        <f>D190</f>
        <v>522430850.19</v>
      </c>
      <c r="E202" s="341">
        <f>SUM(E190:E199)</f>
        <v>24186613.73</v>
      </c>
      <c r="F202" s="342">
        <f t="shared" si="230"/>
        <v>20</v>
      </c>
      <c r="G202" s="343">
        <f t="shared" ref="G202:I202" si="319">SUM(G190:G201)</f>
        <v>4837322.76</v>
      </c>
      <c r="H202" s="344">
        <f t="shared" si="319"/>
        <v>29023936.489999998</v>
      </c>
      <c r="I202" s="344">
        <f t="shared" si="319"/>
        <v>34828723.32</v>
      </c>
      <c r="J202" s="296"/>
      <c r="K202" s="344">
        <f t="shared" si="317"/>
        <v>522430850.19</v>
      </c>
      <c r="L202" s="344">
        <f t="shared" ref="L202" si="320">L201</f>
        <v>522430850.19</v>
      </c>
      <c r="M202" s="344">
        <f t="shared" ref="M202" si="321">M201</f>
        <v>0</v>
      </c>
      <c r="N202" s="344">
        <f t="shared" ref="N202" si="322">N201</f>
        <v>519528456.19</v>
      </c>
    </row>
    <row r="203" spans="1:14" ht="19.5" thickBot="1" x14ac:dyDescent="0.35">
      <c r="A203" s="346">
        <v>48945</v>
      </c>
      <c r="B203" s="347">
        <f>B202</f>
        <v>522430850.19</v>
      </c>
      <c r="C203" s="347">
        <f>B203</f>
        <v>522430850.19</v>
      </c>
      <c r="D203" s="347">
        <f>0</f>
        <v>0</v>
      </c>
      <c r="E203" s="347">
        <v>0</v>
      </c>
      <c r="F203" s="348">
        <f t="shared" si="230"/>
        <v>20</v>
      </c>
      <c r="G203" s="349">
        <f>E203*F203/100</f>
        <v>0</v>
      </c>
      <c r="H203" s="350">
        <f>G203+E203</f>
        <v>0</v>
      </c>
      <c r="I203" s="350">
        <f t="shared" ref="I203" si="323">SUM(H199:H201)</f>
        <v>2902394</v>
      </c>
      <c r="J203" s="303">
        <f>IF(I203=0,"-",A203+19)</f>
        <v>48964</v>
      </c>
      <c r="K203" s="350">
        <f>K202-N202-I203</f>
        <v>0</v>
      </c>
      <c r="L203" s="350">
        <v>0</v>
      </c>
      <c r="M203" s="350">
        <v>0</v>
      </c>
      <c r="N203" s="350">
        <v>0</v>
      </c>
    </row>
    <row r="204" spans="1:14" s="351" customFormat="1" ht="19.5" thickBot="1" x14ac:dyDescent="0.35">
      <c r="A204" s="340">
        <v>2034</v>
      </c>
      <c r="B204" s="341">
        <f>B203</f>
        <v>522430850.19</v>
      </c>
      <c r="C204" s="341">
        <f>C203</f>
        <v>522430850.19</v>
      </c>
      <c r="D204" s="341">
        <f>D203</f>
        <v>0</v>
      </c>
      <c r="E204" s="341">
        <v>0</v>
      </c>
      <c r="F204" s="342">
        <f t="shared" si="230"/>
        <v>20</v>
      </c>
      <c r="G204" s="343">
        <v>0</v>
      </c>
      <c r="H204" s="344">
        <v>0</v>
      </c>
      <c r="I204" s="344">
        <f>SUM(I203)</f>
        <v>2902394</v>
      </c>
      <c r="J204" s="296"/>
      <c r="K204" s="344">
        <f t="shared" ref="K204" si="324">K203</f>
        <v>0</v>
      </c>
      <c r="L204" s="344">
        <f t="shared" ref="L204" si="325">L203</f>
        <v>0</v>
      </c>
      <c r="M204" s="344">
        <f t="shared" ref="M204" si="326">M203</f>
        <v>0</v>
      </c>
      <c r="N204" s="344">
        <f t="shared" ref="N204" si="327">N203</f>
        <v>0</v>
      </c>
    </row>
    <row r="205" spans="1:14" ht="19.5" thickBot="1" x14ac:dyDescent="0.35">
      <c r="A205" s="340" t="s">
        <v>7</v>
      </c>
      <c r="B205" s="341">
        <f>B5</f>
        <v>522430850.19</v>
      </c>
      <c r="C205" s="341">
        <f t="shared" ref="C205:D205" si="328">C5</f>
        <v>0</v>
      </c>
      <c r="D205" s="341">
        <f t="shared" si="328"/>
        <v>522430850.19</v>
      </c>
      <c r="E205" s="341">
        <f>E202+E189+E176+E163+E150+E137+E124+E111+E98+E85+E72+E59+E46+E33+E20+E7+E204</f>
        <v>435359041.52999997</v>
      </c>
      <c r="F205" s="352">
        <f>G205/E205*100</f>
        <v>20</v>
      </c>
      <c r="G205" s="343">
        <f t="shared" ref="G205:H205" si="329">G202+G189+G176+G163+G150+G137+G124+G111+G98+G85+G72+G59+G46+G33+G20+G7+G204</f>
        <v>87071808.659999996</v>
      </c>
      <c r="H205" s="344">
        <f t="shared" si="329"/>
        <v>522430850.19</v>
      </c>
      <c r="I205" s="344">
        <f>I202+I189+I176+I163+I150+I137+I124+I111+I98+I85+I72+I59+I46+I33+I20+I7+I204</f>
        <v>522430850.19</v>
      </c>
      <c r="J205" s="296"/>
      <c r="K205" s="344">
        <f>B205-I205</f>
        <v>0</v>
      </c>
      <c r="L205" s="344">
        <v>0</v>
      </c>
      <c r="M205" s="344">
        <f>L205</f>
        <v>0</v>
      </c>
      <c r="N205" s="344">
        <v>0</v>
      </c>
    </row>
    <row r="206" spans="1:14" hidden="1" x14ac:dyDescent="0.3">
      <c r="E206" s="353">
        <f>Лист2!E5</f>
        <v>435359041.52999997</v>
      </c>
    </row>
    <row r="207" spans="1:14" hidden="1" x14ac:dyDescent="0.3">
      <c r="E207" s="353">
        <f>E205-E206</f>
        <v>0</v>
      </c>
    </row>
    <row r="211" spans="1:14" s="253" customFormat="1" x14ac:dyDescent="0.3">
      <c r="A211" s="250" t="s">
        <v>52</v>
      </c>
      <c r="B211" s="254"/>
      <c r="C211" s="254"/>
      <c r="D211" s="254"/>
      <c r="E211" s="254"/>
      <c r="F211" s="255"/>
      <c r="G211" s="254"/>
      <c r="H211" s="254"/>
      <c r="I211" s="254"/>
      <c r="J211" s="256"/>
      <c r="K211" s="254"/>
      <c r="L211" s="254"/>
      <c r="M211" s="254"/>
      <c r="N211" s="356" t="s">
        <v>53</v>
      </c>
    </row>
  </sheetData>
  <mergeCells count="7">
    <mergeCell ref="N3:N4"/>
    <mergeCell ref="A3:A4"/>
    <mergeCell ref="I3:I4"/>
    <mergeCell ref="K3:M3"/>
    <mergeCell ref="E3:H3"/>
    <mergeCell ref="B3:D3"/>
    <mergeCell ref="J3:J4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4AE30-2B96-4073-B93E-03C0FB241789}">
  <sheetPr>
    <tabColor rgb="FF92D050"/>
    <pageSetUpPr fitToPage="1"/>
  </sheetPr>
  <dimension ref="A1:N212"/>
  <sheetViews>
    <sheetView view="pageBreakPreview" zoomScale="60" zoomScaleNormal="100" workbookViewId="0">
      <pane xSplit="1" ySplit="4" topLeftCell="B182" activePane="bottomRight" state="frozen"/>
      <selection activeCell="H7" sqref="H7:H9"/>
      <selection pane="topRight" activeCell="H7" sqref="H7:H9"/>
      <selection pane="bottomLeft" activeCell="H7" sqref="H7:H9"/>
      <selection pane="bottomRight" activeCell="N2" sqref="N2"/>
    </sheetView>
  </sheetViews>
  <sheetFormatPr defaultRowHeight="18.75" x14ac:dyDescent="0.3"/>
  <cols>
    <col min="1" max="1" width="12.6640625" style="253" customWidth="1"/>
    <col min="2" max="5" width="16.21875" style="254" customWidth="1"/>
    <col min="6" max="6" width="16.21875" style="255" customWidth="1"/>
    <col min="7" max="9" width="16.21875" style="254" customWidth="1"/>
    <col min="10" max="10" width="18.109375" style="256" customWidth="1"/>
    <col min="11" max="14" width="16.21875" style="254" customWidth="1"/>
    <col min="15" max="16384" width="8.88671875" style="253"/>
  </cols>
  <sheetData>
    <row r="1" spans="1:14" x14ac:dyDescent="0.3">
      <c r="N1" s="252" t="s">
        <v>175</v>
      </c>
    </row>
    <row r="2" spans="1:14" s="260" customFormat="1" ht="24" thickBot="1" x14ac:dyDescent="0.4">
      <c r="A2" s="357" t="s">
        <v>174</v>
      </c>
      <c r="B2" s="257"/>
      <c r="C2" s="257"/>
      <c r="D2" s="257"/>
      <c r="E2" s="257"/>
      <c r="F2" s="258"/>
      <c r="G2" s="257"/>
      <c r="H2" s="257"/>
      <c r="I2" s="257"/>
      <c r="J2" s="259"/>
      <c r="K2" s="257"/>
      <c r="L2" s="257"/>
      <c r="M2" s="257"/>
      <c r="N2" s="257"/>
    </row>
    <row r="3" spans="1:14" s="267" customFormat="1" ht="24" thickBot="1" x14ac:dyDescent="0.4">
      <c r="A3" s="261" t="s">
        <v>0</v>
      </c>
      <c r="B3" s="262" t="s">
        <v>90</v>
      </c>
      <c r="C3" s="263"/>
      <c r="D3" s="264"/>
      <c r="E3" s="262" t="s">
        <v>96</v>
      </c>
      <c r="F3" s="263"/>
      <c r="G3" s="263"/>
      <c r="H3" s="264"/>
      <c r="I3" s="265" t="s">
        <v>91</v>
      </c>
      <c r="J3" s="266" t="s">
        <v>98</v>
      </c>
      <c r="K3" s="262" t="s">
        <v>92</v>
      </c>
      <c r="L3" s="263"/>
      <c r="M3" s="264"/>
      <c r="N3" s="265" t="s">
        <v>97</v>
      </c>
    </row>
    <row r="4" spans="1:14" s="278" customFormat="1" ht="57" thickBot="1" x14ac:dyDescent="0.35">
      <c r="A4" s="268"/>
      <c r="B4" s="269" t="s">
        <v>93</v>
      </c>
      <c r="C4" s="270" t="s">
        <v>94</v>
      </c>
      <c r="D4" s="271" t="s">
        <v>95</v>
      </c>
      <c r="E4" s="272" t="s">
        <v>172</v>
      </c>
      <c r="F4" s="273" t="s">
        <v>162</v>
      </c>
      <c r="G4" s="274" t="s">
        <v>163</v>
      </c>
      <c r="H4" s="275" t="s">
        <v>173</v>
      </c>
      <c r="I4" s="276"/>
      <c r="J4" s="277"/>
      <c r="K4" s="269" t="s">
        <v>93</v>
      </c>
      <c r="L4" s="270" t="s">
        <v>94</v>
      </c>
      <c r="M4" s="271" t="s">
        <v>95</v>
      </c>
      <c r="N4" s="276"/>
    </row>
    <row r="5" spans="1:14" x14ac:dyDescent="0.3">
      <c r="A5" s="279">
        <v>43405</v>
      </c>
      <c r="B5" s="280">
        <f>H205</f>
        <v>567660076.13</v>
      </c>
      <c r="C5" s="280">
        <f>I5+I6+I8+I9+I10+I11+I12+I13+I14+I15+I16+I17</f>
        <v>18398336.66</v>
      </c>
      <c r="D5" s="280">
        <f>B5-C5</f>
        <v>549261739.47000003</v>
      </c>
      <c r="E5" s="280">
        <f>'Расчет по лизингу'!E3</f>
        <v>1166854.8400000001</v>
      </c>
      <c r="F5" s="297">
        <v>18</v>
      </c>
      <c r="G5" s="282">
        <f>E5*F5/100</f>
        <v>210033.87</v>
      </c>
      <c r="H5" s="283">
        <f>G5+E5</f>
        <v>1376888.71</v>
      </c>
      <c r="I5" s="283">
        <v>0</v>
      </c>
      <c r="J5" s="284" t="str">
        <f>IF(I5=0,"-",A5+19)</f>
        <v>-</v>
      </c>
      <c r="K5" s="283">
        <f>B5-I5</f>
        <v>567660076.13</v>
      </c>
      <c r="L5" s="283">
        <f>C5</f>
        <v>18398336.66</v>
      </c>
      <c r="M5" s="283">
        <f>K5-L5</f>
        <v>549261739.47000003</v>
      </c>
      <c r="N5" s="283">
        <v>0</v>
      </c>
    </row>
    <row r="6" spans="1:14" ht="19.5" thickBot="1" x14ac:dyDescent="0.35">
      <c r="A6" s="285">
        <v>43435</v>
      </c>
      <c r="B6" s="286">
        <f>K5</f>
        <v>567660076.13</v>
      </c>
      <c r="C6" s="286">
        <f t="shared" ref="C6:D6" si="0">L5</f>
        <v>18398336.66</v>
      </c>
      <c r="D6" s="286">
        <f t="shared" si="0"/>
        <v>549261739.47000003</v>
      </c>
      <c r="E6" s="286">
        <f>'Расчет по лизингу'!E4</f>
        <v>1166854.8400000001</v>
      </c>
      <c r="F6" s="304">
        <v>18</v>
      </c>
      <c r="G6" s="288">
        <f>E6*F6/100</f>
        <v>210033.87</v>
      </c>
      <c r="H6" s="289">
        <f>G6+E6</f>
        <v>1376888.71</v>
      </c>
      <c r="I6" s="289">
        <v>0</v>
      </c>
      <c r="J6" s="290" t="str">
        <f>IF(I6=0,"-",A6+19)</f>
        <v>-</v>
      </c>
      <c r="K6" s="289">
        <f>B6-I6</f>
        <v>567660076.13</v>
      </c>
      <c r="L6" s="289">
        <f>SUM(I8:I19)</f>
        <v>18398336.66</v>
      </c>
      <c r="M6" s="289">
        <f>K6-L6</f>
        <v>549261739.47000003</v>
      </c>
      <c r="N6" s="289">
        <v>0</v>
      </c>
    </row>
    <row r="7" spans="1:14" ht="19.5" thickBot="1" x14ac:dyDescent="0.35">
      <c r="A7" s="291">
        <v>2018</v>
      </c>
      <c r="B7" s="292">
        <f>B5</f>
        <v>567660076.13</v>
      </c>
      <c r="C7" s="292">
        <f t="shared" ref="C7:D7" si="1">C5</f>
        <v>18398336.66</v>
      </c>
      <c r="D7" s="292">
        <f t="shared" si="1"/>
        <v>549261739.47000003</v>
      </c>
      <c r="E7" s="292">
        <f>SUM(E5:E6)</f>
        <v>2333709.6800000002</v>
      </c>
      <c r="F7" s="305">
        <f>F6</f>
        <v>18</v>
      </c>
      <c r="G7" s="294">
        <f t="shared" ref="G7:I7" si="2">SUM(G5:G6)</f>
        <v>420067.74</v>
      </c>
      <c r="H7" s="295">
        <f t="shared" si="2"/>
        <v>2753777.42</v>
      </c>
      <c r="I7" s="295">
        <f t="shared" si="2"/>
        <v>0</v>
      </c>
      <c r="J7" s="296"/>
      <c r="K7" s="295">
        <f>K6</f>
        <v>567660076.13</v>
      </c>
      <c r="L7" s="295">
        <f t="shared" ref="L7:M7" si="3">L6</f>
        <v>18398336.66</v>
      </c>
      <c r="M7" s="295">
        <f t="shared" si="3"/>
        <v>549261739.47000003</v>
      </c>
      <c r="N7" s="295">
        <f t="shared" ref="N7" si="4">SUM(N5:N6)</f>
        <v>0</v>
      </c>
    </row>
    <row r="8" spans="1:14" x14ac:dyDescent="0.3">
      <c r="A8" s="279">
        <v>43466</v>
      </c>
      <c r="B8" s="280">
        <f>K6</f>
        <v>567660076.13</v>
      </c>
      <c r="C8" s="280">
        <f>L6</f>
        <v>18398336.66</v>
      </c>
      <c r="D8" s="280">
        <f>B8-C8</f>
        <v>549261739.47000003</v>
      </c>
      <c r="E8" s="280">
        <f>'Расчет по лизингу'!E6</f>
        <v>1448570.3</v>
      </c>
      <c r="F8" s="297">
        <v>20</v>
      </c>
      <c r="G8" s="282">
        <f t="shared" ref="G8:G19" si="5">E8*F8/100</f>
        <v>289714.06</v>
      </c>
      <c r="H8" s="283">
        <f t="shared" ref="H8:H19" si="6">G8+E8</f>
        <v>1738284.36</v>
      </c>
      <c r="I8" s="283">
        <f>H7</f>
        <v>2753777.42</v>
      </c>
      <c r="J8" s="284">
        <f t="shared" ref="J8:J19" si="7">IF(I8=0,"-",A8+19)</f>
        <v>43485</v>
      </c>
      <c r="K8" s="283">
        <f t="shared" ref="K8:K19" si="8">B8-I8</f>
        <v>564906298.71000004</v>
      </c>
      <c r="L8" s="283">
        <f>SUM(I9:I19,I21)</f>
        <v>20859412.300000001</v>
      </c>
      <c r="M8" s="283">
        <f>K8-L8</f>
        <v>544046886.40999997</v>
      </c>
      <c r="N8" s="283">
        <v>0</v>
      </c>
    </row>
    <row r="9" spans="1:14" x14ac:dyDescent="0.3">
      <c r="A9" s="298">
        <v>43497</v>
      </c>
      <c r="B9" s="299">
        <f t="shared" ref="B9:B19" si="9">K8</f>
        <v>564906298.71000004</v>
      </c>
      <c r="C9" s="299">
        <f>L8</f>
        <v>20859412.300000001</v>
      </c>
      <c r="D9" s="299">
        <f>B9-C9</f>
        <v>544046886.40999997</v>
      </c>
      <c r="E9" s="299">
        <f>'Расчет по лизингу'!E7</f>
        <v>1448570.3</v>
      </c>
      <c r="F9" s="300">
        <f>F8</f>
        <v>20</v>
      </c>
      <c r="G9" s="301">
        <f t="shared" si="5"/>
        <v>289714.06</v>
      </c>
      <c r="H9" s="302">
        <f t="shared" si="6"/>
        <v>1738284.36</v>
      </c>
      <c r="I9" s="302">
        <v>0</v>
      </c>
      <c r="J9" s="303" t="str">
        <f t="shared" si="7"/>
        <v>-</v>
      </c>
      <c r="K9" s="302">
        <f t="shared" si="8"/>
        <v>564906298.71000004</v>
      </c>
      <c r="L9" s="302">
        <f>SUM(I10:I19,I21:I22)</f>
        <v>20859412.300000001</v>
      </c>
      <c r="M9" s="302">
        <f t="shared" ref="M9:M19" si="10">K9-L9</f>
        <v>544046886.40999997</v>
      </c>
      <c r="N9" s="302">
        <v>0</v>
      </c>
    </row>
    <row r="10" spans="1:14" x14ac:dyDescent="0.3">
      <c r="A10" s="298">
        <v>43525</v>
      </c>
      <c r="B10" s="299">
        <f t="shared" si="9"/>
        <v>564906298.71000004</v>
      </c>
      <c r="C10" s="299">
        <f t="shared" ref="C10:C19" si="11">L9</f>
        <v>20859412.300000001</v>
      </c>
      <c r="D10" s="299">
        <f t="shared" ref="D10:D19" si="12">B10-C10</f>
        <v>544046886.40999997</v>
      </c>
      <c r="E10" s="299">
        <f>'Расчет по лизингу'!E8</f>
        <v>1448570.3</v>
      </c>
      <c r="F10" s="300">
        <f t="shared" ref="F10:F25" si="13">F9</f>
        <v>20</v>
      </c>
      <c r="G10" s="301">
        <f t="shared" si="5"/>
        <v>289714.06</v>
      </c>
      <c r="H10" s="302">
        <f t="shared" si="6"/>
        <v>1738284.36</v>
      </c>
      <c r="I10" s="302">
        <v>0</v>
      </c>
      <c r="J10" s="303" t="str">
        <f t="shared" si="7"/>
        <v>-</v>
      </c>
      <c r="K10" s="302">
        <f t="shared" si="8"/>
        <v>564906298.71000004</v>
      </c>
      <c r="L10" s="302">
        <f>SUM(I11:I19,I21:I23)</f>
        <v>20859412.300000001</v>
      </c>
      <c r="M10" s="302">
        <f t="shared" si="10"/>
        <v>544046886.40999997</v>
      </c>
      <c r="N10" s="302">
        <v>0</v>
      </c>
    </row>
    <row r="11" spans="1:14" x14ac:dyDescent="0.3">
      <c r="A11" s="298">
        <v>43556</v>
      </c>
      <c r="B11" s="299">
        <f t="shared" si="9"/>
        <v>564906298.71000004</v>
      </c>
      <c r="C11" s="299">
        <f t="shared" si="11"/>
        <v>20859412.300000001</v>
      </c>
      <c r="D11" s="299">
        <f t="shared" si="12"/>
        <v>544046886.40999997</v>
      </c>
      <c r="E11" s="299">
        <f>'Расчет по лизингу'!E9</f>
        <v>1448570.3</v>
      </c>
      <c r="F11" s="300">
        <f t="shared" si="13"/>
        <v>20</v>
      </c>
      <c r="G11" s="301">
        <f t="shared" si="5"/>
        <v>289714.06</v>
      </c>
      <c r="H11" s="302">
        <f t="shared" si="6"/>
        <v>1738284.36</v>
      </c>
      <c r="I11" s="302">
        <f>SUM(H8:H10)</f>
        <v>5214853.08</v>
      </c>
      <c r="J11" s="303">
        <f t="shared" si="7"/>
        <v>43575</v>
      </c>
      <c r="K11" s="302">
        <f t="shared" si="8"/>
        <v>559691445.63</v>
      </c>
      <c r="L11" s="302">
        <f>SUM(I12:I19,I21:I24)</f>
        <v>21497547.91</v>
      </c>
      <c r="M11" s="302">
        <f t="shared" si="10"/>
        <v>538193897.72000003</v>
      </c>
      <c r="N11" s="302">
        <v>0</v>
      </c>
    </row>
    <row r="12" spans="1:14" x14ac:dyDescent="0.3">
      <c r="A12" s="298">
        <v>43586</v>
      </c>
      <c r="B12" s="299">
        <f t="shared" si="9"/>
        <v>559691445.63</v>
      </c>
      <c r="C12" s="299">
        <f t="shared" si="11"/>
        <v>21497547.91</v>
      </c>
      <c r="D12" s="299">
        <f t="shared" si="12"/>
        <v>538193897.72000003</v>
      </c>
      <c r="E12" s="299">
        <f>'Расчет по лизингу'!E10</f>
        <v>1448570.3</v>
      </c>
      <c r="F12" s="300">
        <f t="shared" si="13"/>
        <v>20</v>
      </c>
      <c r="G12" s="301">
        <f t="shared" si="5"/>
        <v>289714.06</v>
      </c>
      <c r="H12" s="302">
        <f t="shared" si="6"/>
        <v>1738284.36</v>
      </c>
      <c r="I12" s="302">
        <v>0</v>
      </c>
      <c r="J12" s="303" t="str">
        <f t="shared" si="7"/>
        <v>-</v>
      </c>
      <c r="K12" s="302">
        <f t="shared" si="8"/>
        <v>559691445.63</v>
      </c>
      <c r="L12" s="302">
        <f>SUM(I13:I19,I21:I25)</f>
        <v>21497547.91</v>
      </c>
      <c r="M12" s="302">
        <f t="shared" si="10"/>
        <v>538193897.72000003</v>
      </c>
      <c r="N12" s="302">
        <v>0</v>
      </c>
    </row>
    <row r="13" spans="1:14" x14ac:dyDescent="0.3">
      <c r="A13" s="298">
        <v>43617</v>
      </c>
      <c r="B13" s="299">
        <f t="shared" si="9"/>
        <v>559691445.63</v>
      </c>
      <c r="C13" s="299">
        <f t="shared" si="11"/>
        <v>21497547.91</v>
      </c>
      <c r="D13" s="299">
        <f t="shared" si="12"/>
        <v>538193897.72000003</v>
      </c>
      <c r="E13" s="299">
        <f>'Расчет по лизингу'!E11</f>
        <v>1448570.3</v>
      </c>
      <c r="F13" s="300">
        <f t="shared" si="13"/>
        <v>20</v>
      </c>
      <c r="G13" s="301">
        <f t="shared" si="5"/>
        <v>289714.06</v>
      </c>
      <c r="H13" s="302">
        <f t="shared" si="6"/>
        <v>1738284.36</v>
      </c>
      <c r="I13" s="302">
        <v>0</v>
      </c>
      <c r="J13" s="303" t="str">
        <f t="shared" si="7"/>
        <v>-</v>
      </c>
      <c r="K13" s="302">
        <f t="shared" si="8"/>
        <v>559691445.63</v>
      </c>
      <c r="L13" s="302">
        <f>SUM(I14:I19,I21:I26)</f>
        <v>21497547.91</v>
      </c>
      <c r="M13" s="302">
        <f t="shared" si="10"/>
        <v>538193897.72000003</v>
      </c>
      <c r="N13" s="302">
        <v>0</v>
      </c>
    </row>
    <row r="14" spans="1:14" x14ac:dyDescent="0.3">
      <c r="A14" s="298">
        <v>43647</v>
      </c>
      <c r="B14" s="299">
        <f t="shared" si="9"/>
        <v>559691445.63</v>
      </c>
      <c r="C14" s="299">
        <f t="shared" si="11"/>
        <v>21497547.91</v>
      </c>
      <c r="D14" s="299">
        <f t="shared" si="12"/>
        <v>538193897.72000003</v>
      </c>
      <c r="E14" s="299">
        <f>'Расчет по лизингу'!E12</f>
        <v>1448570.3</v>
      </c>
      <c r="F14" s="300">
        <f t="shared" si="13"/>
        <v>20</v>
      </c>
      <c r="G14" s="301">
        <f t="shared" si="5"/>
        <v>289714.06</v>
      </c>
      <c r="H14" s="302">
        <f t="shared" si="6"/>
        <v>1738284.36</v>
      </c>
      <c r="I14" s="302">
        <f>SUM(H11:H13)</f>
        <v>5214853.08</v>
      </c>
      <c r="J14" s="303">
        <f t="shared" si="7"/>
        <v>43666</v>
      </c>
      <c r="K14" s="302">
        <f t="shared" si="8"/>
        <v>554476592.54999995</v>
      </c>
      <c r="L14" s="302">
        <f>SUM(I15:I19,I21:I27)</f>
        <v>22135683.52</v>
      </c>
      <c r="M14" s="302">
        <f t="shared" si="10"/>
        <v>532340909.02999997</v>
      </c>
      <c r="N14" s="302">
        <v>0</v>
      </c>
    </row>
    <row r="15" spans="1:14" x14ac:dyDescent="0.3">
      <c r="A15" s="298">
        <v>43678</v>
      </c>
      <c r="B15" s="299">
        <f t="shared" si="9"/>
        <v>554476592.54999995</v>
      </c>
      <c r="C15" s="299">
        <f t="shared" si="11"/>
        <v>22135683.52</v>
      </c>
      <c r="D15" s="299">
        <f t="shared" si="12"/>
        <v>532340909.02999997</v>
      </c>
      <c r="E15" s="299">
        <f>'Расчет по лизингу'!E13</f>
        <v>1448570.3</v>
      </c>
      <c r="F15" s="300">
        <f t="shared" si="13"/>
        <v>20</v>
      </c>
      <c r="G15" s="301">
        <f t="shared" si="5"/>
        <v>289714.06</v>
      </c>
      <c r="H15" s="302">
        <f t="shared" si="6"/>
        <v>1738284.36</v>
      </c>
      <c r="I15" s="302">
        <v>0</v>
      </c>
      <c r="J15" s="303" t="str">
        <f t="shared" si="7"/>
        <v>-</v>
      </c>
      <c r="K15" s="302">
        <f t="shared" si="8"/>
        <v>554476592.54999995</v>
      </c>
      <c r="L15" s="302">
        <f>SUM(I16:I19,I21:I28)</f>
        <v>22135683.52</v>
      </c>
      <c r="M15" s="302">
        <f t="shared" si="10"/>
        <v>532340909.02999997</v>
      </c>
      <c r="N15" s="302">
        <v>0</v>
      </c>
    </row>
    <row r="16" spans="1:14" x14ac:dyDescent="0.3">
      <c r="A16" s="298">
        <v>43709</v>
      </c>
      <c r="B16" s="299">
        <f t="shared" si="9"/>
        <v>554476592.54999995</v>
      </c>
      <c r="C16" s="299">
        <f t="shared" si="11"/>
        <v>22135683.52</v>
      </c>
      <c r="D16" s="299">
        <f t="shared" si="12"/>
        <v>532340909.02999997</v>
      </c>
      <c r="E16" s="299">
        <f>'Расчет по лизингу'!E14</f>
        <v>1448570.3</v>
      </c>
      <c r="F16" s="300">
        <f t="shared" si="13"/>
        <v>20</v>
      </c>
      <c r="G16" s="301">
        <f t="shared" si="5"/>
        <v>289714.06</v>
      </c>
      <c r="H16" s="302">
        <f t="shared" si="6"/>
        <v>1738284.36</v>
      </c>
      <c r="I16" s="302">
        <v>0</v>
      </c>
      <c r="J16" s="303" t="str">
        <f t="shared" si="7"/>
        <v>-</v>
      </c>
      <c r="K16" s="302">
        <f t="shared" si="8"/>
        <v>554476592.54999995</v>
      </c>
      <c r="L16" s="302">
        <f>SUM(I17:I19,I21:I29)</f>
        <v>22135683.52</v>
      </c>
      <c r="M16" s="302">
        <f t="shared" si="10"/>
        <v>532340909.02999997</v>
      </c>
      <c r="N16" s="302">
        <v>0</v>
      </c>
    </row>
    <row r="17" spans="1:14" x14ac:dyDescent="0.3">
      <c r="A17" s="298">
        <v>43739</v>
      </c>
      <c r="B17" s="299">
        <f t="shared" si="9"/>
        <v>554476592.54999995</v>
      </c>
      <c r="C17" s="299">
        <f t="shared" si="11"/>
        <v>22135683.52</v>
      </c>
      <c r="D17" s="299">
        <f t="shared" si="12"/>
        <v>532340909.02999997</v>
      </c>
      <c r="E17" s="299">
        <f>'Расчет по лизингу'!E15</f>
        <v>1448570.3</v>
      </c>
      <c r="F17" s="300">
        <f t="shared" si="13"/>
        <v>20</v>
      </c>
      <c r="G17" s="301">
        <f t="shared" si="5"/>
        <v>289714.06</v>
      </c>
      <c r="H17" s="302">
        <f t="shared" si="6"/>
        <v>1738284.36</v>
      </c>
      <c r="I17" s="302">
        <f>SUM(H14:H16)</f>
        <v>5214853.08</v>
      </c>
      <c r="J17" s="303">
        <f t="shared" si="7"/>
        <v>43758</v>
      </c>
      <c r="K17" s="302">
        <f t="shared" si="8"/>
        <v>549261739.47000003</v>
      </c>
      <c r="L17" s="302">
        <f>SUM(I18:I19,I21:I30)</f>
        <v>22773819.129999999</v>
      </c>
      <c r="M17" s="302">
        <f t="shared" si="10"/>
        <v>526487920.33999997</v>
      </c>
      <c r="N17" s="302">
        <v>0</v>
      </c>
    </row>
    <row r="18" spans="1:14" x14ac:dyDescent="0.3">
      <c r="A18" s="298">
        <v>43770</v>
      </c>
      <c r="B18" s="299">
        <f t="shared" si="9"/>
        <v>549261739.47000003</v>
      </c>
      <c r="C18" s="299">
        <f t="shared" si="11"/>
        <v>22773819.129999999</v>
      </c>
      <c r="D18" s="299">
        <f t="shared" si="12"/>
        <v>526487920.33999997</v>
      </c>
      <c r="E18" s="299">
        <f>'Расчет по лизингу'!E16</f>
        <v>1448570.3</v>
      </c>
      <c r="F18" s="300">
        <f t="shared" si="13"/>
        <v>20</v>
      </c>
      <c r="G18" s="301">
        <f t="shared" si="5"/>
        <v>289714.06</v>
      </c>
      <c r="H18" s="302">
        <f t="shared" si="6"/>
        <v>1738284.36</v>
      </c>
      <c r="I18" s="302">
        <v>0</v>
      </c>
      <c r="J18" s="303" t="str">
        <f t="shared" si="7"/>
        <v>-</v>
      </c>
      <c r="K18" s="302">
        <f t="shared" si="8"/>
        <v>549261739.47000003</v>
      </c>
      <c r="L18" s="302">
        <f>SUM(I19,I21:I31)</f>
        <v>22773819.129999999</v>
      </c>
      <c r="M18" s="302">
        <f t="shared" si="10"/>
        <v>526487920.33999997</v>
      </c>
      <c r="N18" s="302">
        <v>0</v>
      </c>
    </row>
    <row r="19" spans="1:14" ht="19.5" thickBot="1" x14ac:dyDescent="0.35">
      <c r="A19" s="285">
        <v>43800</v>
      </c>
      <c r="B19" s="286">
        <f t="shared" si="9"/>
        <v>549261739.47000003</v>
      </c>
      <c r="C19" s="286">
        <f t="shared" si="11"/>
        <v>22773819.129999999</v>
      </c>
      <c r="D19" s="286">
        <f t="shared" si="12"/>
        <v>526487920.33999997</v>
      </c>
      <c r="E19" s="286">
        <f>'Расчет по лизингу'!E17</f>
        <v>1448570.28</v>
      </c>
      <c r="F19" s="304">
        <f t="shared" si="13"/>
        <v>20</v>
      </c>
      <c r="G19" s="288">
        <f t="shared" si="5"/>
        <v>289714.06</v>
      </c>
      <c r="H19" s="289">
        <f t="shared" si="6"/>
        <v>1738284.34</v>
      </c>
      <c r="I19" s="289">
        <v>0</v>
      </c>
      <c r="J19" s="290" t="str">
        <f t="shared" si="7"/>
        <v>-</v>
      </c>
      <c r="K19" s="289">
        <f t="shared" si="8"/>
        <v>549261739.47000003</v>
      </c>
      <c r="L19" s="289">
        <f>SUM(I21:I32)</f>
        <v>22773819.129999999</v>
      </c>
      <c r="M19" s="289">
        <f t="shared" si="10"/>
        <v>526487920.33999997</v>
      </c>
      <c r="N19" s="289">
        <v>0</v>
      </c>
    </row>
    <row r="20" spans="1:14" s="306" customFormat="1" ht="19.5" thickBot="1" x14ac:dyDescent="0.35">
      <c r="A20" s="291">
        <v>2019</v>
      </c>
      <c r="B20" s="292">
        <f>B8</f>
        <v>567660076.13</v>
      </c>
      <c r="C20" s="292">
        <f t="shared" ref="C20:D20" si="14">C8</f>
        <v>18398336.66</v>
      </c>
      <c r="D20" s="292">
        <f t="shared" si="14"/>
        <v>549261739.47000003</v>
      </c>
      <c r="E20" s="292">
        <f>SUM(E8:E19)</f>
        <v>17382843.579999998</v>
      </c>
      <c r="F20" s="305">
        <f t="shared" si="13"/>
        <v>20</v>
      </c>
      <c r="G20" s="294">
        <f t="shared" ref="G20:I20" si="15">SUM(G8:G19)</f>
        <v>3476568.72</v>
      </c>
      <c r="H20" s="295">
        <f t="shared" si="15"/>
        <v>20859412.300000001</v>
      </c>
      <c r="I20" s="295">
        <f t="shared" si="15"/>
        <v>18398336.66</v>
      </c>
      <c r="J20" s="296"/>
      <c r="K20" s="295">
        <f t="shared" ref="K20:M20" si="16">K19</f>
        <v>549261739.47000003</v>
      </c>
      <c r="L20" s="295">
        <f t="shared" si="16"/>
        <v>22773819.129999999</v>
      </c>
      <c r="M20" s="295">
        <f t="shared" si="16"/>
        <v>526487920.33999997</v>
      </c>
      <c r="N20" s="295">
        <f>N19</f>
        <v>0</v>
      </c>
    </row>
    <row r="21" spans="1:14" x14ac:dyDescent="0.3">
      <c r="A21" s="279">
        <v>43831</v>
      </c>
      <c r="B21" s="280">
        <f t="shared" ref="B21:B32" si="17">K20</f>
        <v>549261739.47000003</v>
      </c>
      <c r="C21" s="280">
        <f>L19</f>
        <v>22773819.129999999</v>
      </c>
      <c r="D21" s="280">
        <f>B21-C21</f>
        <v>526487920.33999997</v>
      </c>
      <c r="E21" s="280">
        <f>'Расчет по лизингу'!E19</f>
        <v>1625830.19</v>
      </c>
      <c r="F21" s="297">
        <f t="shared" si="13"/>
        <v>20</v>
      </c>
      <c r="G21" s="282">
        <f t="shared" ref="G21:G32" si="18">E21*F21/100</f>
        <v>325166.03999999998</v>
      </c>
      <c r="H21" s="283">
        <f t="shared" ref="H21:H32" si="19">G21+E21</f>
        <v>1950996.23</v>
      </c>
      <c r="I21" s="283">
        <f>SUM(H17:H19)</f>
        <v>5214853.0599999996</v>
      </c>
      <c r="J21" s="284">
        <f t="shared" ref="J21:J32" si="20">IF(I21=0,"-",A21+19)</f>
        <v>43850</v>
      </c>
      <c r="K21" s="283">
        <f t="shared" ref="K21:K32" si="21">B21-I21</f>
        <v>544046886.40999997</v>
      </c>
      <c r="L21" s="283">
        <f>SUM(I22:I32,I34)</f>
        <v>23411954.699999999</v>
      </c>
      <c r="M21" s="283">
        <f>K21-L21</f>
        <v>520634931.70999998</v>
      </c>
      <c r="N21" s="283">
        <v>0</v>
      </c>
    </row>
    <row r="22" spans="1:14" x14ac:dyDescent="0.3">
      <c r="A22" s="298">
        <v>43862</v>
      </c>
      <c r="B22" s="299">
        <f t="shared" si="17"/>
        <v>544046886.40999997</v>
      </c>
      <c r="C22" s="299">
        <f>L21</f>
        <v>23411954.699999999</v>
      </c>
      <c r="D22" s="299">
        <f>B22-C22</f>
        <v>520634931.70999998</v>
      </c>
      <c r="E22" s="299">
        <f>'Расчет по лизингу'!E20</f>
        <v>1625830.19</v>
      </c>
      <c r="F22" s="300">
        <f t="shared" si="13"/>
        <v>20</v>
      </c>
      <c r="G22" s="301">
        <f t="shared" si="18"/>
        <v>325166.03999999998</v>
      </c>
      <c r="H22" s="302">
        <f t="shared" si="19"/>
        <v>1950996.23</v>
      </c>
      <c r="I22" s="302">
        <v>0</v>
      </c>
      <c r="J22" s="303" t="str">
        <f t="shared" si="20"/>
        <v>-</v>
      </c>
      <c r="K22" s="302">
        <f t="shared" si="21"/>
        <v>544046886.40999997</v>
      </c>
      <c r="L22" s="302">
        <f>SUM(I23:I32,I34:I35)</f>
        <v>23411954.699999999</v>
      </c>
      <c r="M22" s="302">
        <f t="shared" ref="M22:M32" si="22">K22-L22</f>
        <v>520634931.70999998</v>
      </c>
      <c r="N22" s="302">
        <v>0</v>
      </c>
    </row>
    <row r="23" spans="1:14" x14ac:dyDescent="0.3">
      <c r="A23" s="298">
        <v>43891</v>
      </c>
      <c r="B23" s="299">
        <f t="shared" si="17"/>
        <v>544046886.40999997</v>
      </c>
      <c r="C23" s="299">
        <f t="shared" ref="C23:C32" si="23">L22</f>
        <v>23411954.699999999</v>
      </c>
      <c r="D23" s="299">
        <f t="shared" ref="D23:D32" si="24">B23-C23</f>
        <v>520634931.70999998</v>
      </c>
      <c r="E23" s="299">
        <f>'Расчет по лизингу'!E21</f>
        <v>1625830.19</v>
      </c>
      <c r="F23" s="300">
        <f t="shared" si="13"/>
        <v>20</v>
      </c>
      <c r="G23" s="301">
        <f t="shared" si="18"/>
        <v>325166.03999999998</v>
      </c>
      <c r="H23" s="302">
        <f t="shared" si="19"/>
        <v>1950996.23</v>
      </c>
      <c r="I23" s="302">
        <v>0</v>
      </c>
      <c r="J23" s="303" t="str">
        <f t="shared" si="20"/>
        <v>-</v>
      </c>
      <c r="K23" s="302">
        <f t="shared" si="21"/>
        <v>544046886.40999997</v>
      </c>
      <c r="L23" s="302">
        <f>SUM(I24:I32,I34:I36)</f>
        <v>23411954.699999999</v>
      </c>
      <c r="M23" s="302">
        <f t="shared" si="22"/>
        <v>520634931.70999998</v>
      </c>
      <c r="N23" s="302">
        <v>0</v>
      </c>
    </row>
    <row r="24" spans="1:14" x14ac:dyDescent="0.3">
      <c r="A24" s="298">
        <v>43922</v>
      </c>
      <c r="B24" s="299">
        <f t="shared" si="17"/>
        <v>544046886.40999997</v>
      </c>
      <c r="C24" s="299">
        <f t="shared" si="23"/>
        <v>23411954.699999999</v>
      </c>
      <c r="D24" s="299">
        <f t="shared" si="24"/>
        <v>520634931.70999998</v>
      </c>
      <c r="E24" s="299">
        <f>'Расчет по лизингу'!E22</f>
        <v>1625830.19</v>
      </c>
      <c r="F24" s="300">
        <f t="shared" si="13"/>
        <v>20</v>
      </c>
      <c r="G24" s="301">
        <f t="shared" si="18"/>
        <v>325166.03999999998</v>
      </c>
      <c r="H24" s="302">
        <f t="shared" si="19"/>
        <v>1950996.23</v>
      </c>
      <c r="I24" s="302">
        <f>SUM(H21:H23)</f>
        <v>5852988.6900000004</v>
      </c>
      <c r="J24" s="303">
        <f t="shared" si="20"/>
        <v>43941</v>
      </c>
      <c r="K24" s="302">
        <f t="shared" si="21"/>
        <v>538193897.72000003</v>
      </c>
      <c r="L24" s="302">
        <f>SUM(I25:I32,I34:I37)</f>
        <v>24065344.5</v>
      </c>
      <c r="M24" s="302">
        <f t="shared" si="22"/>
        <v>514128553.22000003</v>
      </c>
      <c r="N24" s="302">
        <v>0</v>
      </c>
    </row>
    <row r="25" spans="1:14" x14ac:dyDescent="0.3">
      <c r="A25" s="298">
        <v>43952</v>
      </c>
      <c r="B25" s="299">
        <f t="shared" si="17"/>
        <v>538193897.72000003</v>
      </c>
      <c r="C25" s="299">
        <f t="shared" si="23"/>
        <v>24065344.5</v>
      </c>
      <c r="D25" s="299">
        <f t="shared" si="24"/>
        <v>514128553.22000003</v>
      </c>
      <c r="E25" s="299">
        <f>'Расчет по лизингу'!E23</f>
        <v>1625830.19</v>
      </c>
      <c r="F25" s="300">
        <f t="shared" si="13"/>
        <v>20</v>
      </c>
      <c r="G25" s="301">
        <f t="shared" si="18"/>
        <v>325166.03999999998</v>
      </c>
      <c r="H25" s="302">
        <f t="shared" si="19"/>
        <v>1950996.23</v>
      </c>
      <c r="I25" s="302">
        <v>0</v>
      </c>
      <c r="J25" s="303" t="str">
        <f t="shared" si="20"/>
        <v>-</v>
      </c>
      <c r="K25" s="302">
        <f t="shared" si="21"/>
        <v>538193897.72000003</v>
      </c>
      <c r="L25" s="302">
        <f>SUM(I26:I32,I34:I38)</f>
        <v>24065344.5</v>
      </c>
      <c r="M25" s="302">
        <f t="shared" si="22"/>
        <v>514128553.22000003</v>
      </c>
      <c r="N25" s="302">
        <v>0</v>
      </c>
    </row>
    <row r="26" spans="1:14" x14ac:dyDescent="0.3">
      <c r="A26" s="298">
        <v>43983</v>
      </c>
      <c r="B26" s="299">
        <f t="shared" si="17"/>
        <v>538193897.72000003</v>
      </c>
      <c r="C26" s="299">
        <f t="shared" si="23"/>
        <v>24065344.5</v>
      </c>
      <c r="D26" s="299">
        <f t="shared" si="24"/>
        <v>514128553.22000003</v>
      </c>
      <c r="E26" s="299">
        <f>'Расчет по лизингу'!E24</f>
        <v>1625830.19</v>
      </c>
      <c r="F26" s="300">
        <f t="shared" ref="F26:F38" si="25">F25</f>
        <v>20</v>
      </c>
      <c r="G26" s="301">
        <f t="shared" si="18"/>
        <v>325166.03999999998</v>
      </c>
      <c r="H26" s="302">
        <f t="shared" si="19"/>
        <v>1950996.23</v>
      </c>
      <c r="I26" s="302">
        <v>0</v>
      </c>
      <c r="J26" s="303" t="str">
        <f t="shared" si="20"/>
        <v>-</v>
      </c>
      <c r="K26" s="302">
        <f t="shared" si="21"/>
        <v>538193897.72000003</v>
      </c>
      <c r="L26" s="302">
        <f>SUM(I27:I32,I34:I39)</f>
        <v>24065344.5</v>
      </c>
      <c r="M26" s="302">
        <f t="shared" si="22"/>
        <v>514128553.22000003</v>
      </c>
      <c r="N26" s="302">
        <v>0</v>
      </c>
    </row>
    <row r="27" spans="1:14" x14ac:dyDescent="0.3">
      <c r="A27" s="298">
        <v>44013</v>
      </c>
      <c r="B27" s="299">
        <f t="shared" si="17"/>
        <v>538193897.72000003</v>
      </c>
      <c r="C27" s="299">
        <f t="shared" si="23"/>
        <v>24065344.5</v>
      </c>
      <c r="D27" s="299">
        <f t="shared" si="24"/>
        <v>514128553.22000003</v>
      </c>
      <c r="E27" s="299">
        <f>'Расчет по лизингу'!E25</f>
        <v>1625830.19</v>
      </c>
      <c r="F27" s="300">
        <f t="shared" si="25"/>
        <v>20</v>
      </c>
      <c r="G27" s="301">
        <f t="shared" si="18"/>
        <v>325166.03999999998</v>
      </c>
      <c r="H27" s="302">
        <f t="shared" si="19"/>
        <v>1950996.23</v>
      </c>
      <c r="I27" s="302">
        <f>SUM(H24:H26)</f>
        <v>5852988.6900000004</v>
      </c>
      <c r="J27" s="303">
        <f t="shared" si="20"/>
        <v>44032</v>
      </c>
      <c r="K27" s="302">
        <f t="shared" si="21"/>
        <v>532340909.02999997</v>
      </c>
      <c r="L27" s="302">
        <f>SUM(I28:I32,I34:I40)</f>
        <v>24718734.300000001</v>
      </c>
      <c r="M27" s="302">
        <f t="shared" si="22"/>
        <v>507622174.73000002</v>
      </c>
      <c r="N27" s="302">
        <v>0</v>
      </c>
    </row>
    <row r="28" spans="1:14" x14ac:dyDescent="0.3">
      <c r="A28" s="298">
        <v>44044</v>
      </c>
      <c r="B28" s="299">
        <f t="shared" si="17"/>
        <v>532340909.02999997</v>
      </c>
      <c r="C28" s="299">
        <f t="shared" si="23"/>
        <v>24718734.300000001</v>
      </c>
      <c r="D28" s="299">
        <f t="shared" si="24"/>
        <v>507622174.73000002</v>
      </c>
      <c r="E28" s="299">
        <f>'Расчет по лизингу'!E26</f>
        <v>1625830.19</v>
      </c>
      <c r="F28" s="300">
        <f t="shared" si="25"/>
        <v>20</v>
      </c>
      <c r="G28" s="301">
        <f t="shared" si="18"/>
        <v>325166.03999999998</v>
      </c>
      <c r="H28" s="302">
        <f t="shared" si="19"/>
        <v>1950996.23</v>
      </c>
      <c r="I28" s="302">
        <v>0</v>
      </c>
      <c r="J28" s="303" t="str">
        <f t="shared" si="20"/>
        <v>-</v>
      </c>
      <c r="K28" s="302">
        <f t="shared" si="21"/>
        <v>532340909.02999997</v>
      </c>
      <c r="L28" s="302">
        <f>SUM(I29:I32,I34:I41)</f>
        <v>24718734.300000001</v>
      </c>
      <c r="M28" s="302">
        <f t="shared" si="22"/>
        <v>507622174.73000002</v>
      </c>
      <c r="N28" s="302">
        <v>0</v>
      </c>
    </row>
    <row r="29" spans="1:14" x14ac:dyDescent="0.3">
      <c r="A29" s="298">
        <v>44075</v>
      </c>
      <c r="B29" s="299">
        <f t="shared" si="17"/>
        <v>532340909.02999997</v>
      </c>
      <c r="C29" s="299">
        <f t="shared" si="23"/>
        <v>24718734.300000001</v>
      </c>
      <c r="D29" s="299">
        <f t="shared" si="24"/>
        <v>507622174.73000002</v>
      </c>
      <c r="E29" s="299">
        <f>'Расчет по лизингу'!E27</f>
        <v>1625830.19</v>
      </c>
      <c r="F29" s="300">
        <f t="shared" si="25"/>
        <v>20</v>
      </c>
      <c r="G29" s="301">
        <f t="shared" si="18"/>
        <v>325166.03999999998</v>
      </c>
      <c r="H29" s="302">
        <f t="shared" si="19"/>
        <v>1950996.23</v>
      </c>
      <c r="I29" s="302">
        <v>0</v>
      </c>
      <c r="J29" s="303" t="str">
        <f t="shared" si="20"/>
        <v>-</v>
      </c>
      <c r="K29" s="302">
        <f t="shared" si="21"/>
        <v>532340909.02999997</v>
      </c>
      <c r="L29" s="302">
        <f>SUM(I30:I32,I34:I42)</f>
        <v>24718734.300000001</v>
      </c>
      <c r="M29" s="302">
        <f t="shared" si="22"/>
        <v>507622174.73000002</v>
      </c>
      <c r="N29" s="302">
        <v>0</v>
      </c>
    </row>
    <row r="30" spans="1:14" x14ac:dyDescent="0.3">
      <c r="A30" s="298">
        <v>44105</v>
      </c>
      <c r="B30" s="299">
        <f t="shared" si="17"/>
        <v>532340909.02999997</v>
      </c>
      <c r="C30" s="299">
        <f t="shared" si="23"/>
        <v>24718734.300000001</v>
      </c>
      <c r="D30" s="299">
        <f t="shared" si="24"/>
        <v>507622174.73000002</v>
      </c>
      <c r="E30" s="299">
        <f>'Расчет по лизингу'!E28</f>
        <v>1625830.19</v>
      </c>
      <c r="F30" s="300">
        <f t="shared" si="25"/>
        <v>20</v>
      </c>
      <c r="G30" s="301">
        <f t="shared" si="18"/>
        <v>325166.03999999998</v>
      </c>
      <c r="H30" s="302">
        <f t="shared" si="19"/>
        <v>1950996.23</v>
      </c>
      <c r="I30" s="302">
        <f>SUM(H27:H29)</f>
        <v>5852988.6900000004</v>
      </c>
      <c r="J30" s="303">
        <f t="shared" si="20"/>
        <v>44124</v>
      </c>
      <c r="K30" s="302">
        <f t="shared" si="21"/>
        <v>526487920.33999997</v>
      </c>
      <c r="L30" s="302">
        <f>SUM(I31:I32,I34:I43)</f>
        <v>25372124.100000001</v>
      </c>
      <c r="M30" s="302">
        <f t="shared" si="22"/>
        <v>501115796.24000001</v>
      </c>
      <c r="N30" s="302">
        <v>0</v>
      </c>
    </row>
    <row r="31" spans="1:14" x14ac:dyDescent="0.3">
      <c r="A31" s="298">
        <v>44136</v>
      </c>
      <c r="B31" s="299">
        <f t="shared" si="17"/>
        <v>526487920.33999997</v>
      </c>
      <c r="C31" s="299">
        <f t="shared" si="23"/>
        <v>25372124.100000001</v>
      </c>
      <c r="D31" s="299">
        <f t="shared" si="24"/>
        <v>501115796.24000001</v>
      </c>
      <c r="E31" s="299">
        <f>'Расчет по лизингу'!E29</f>
        <v>1625830.19</v>
      </c>
      <c r="F31" s="300">
        <f t="shared" si="25"/>
        <v>20</v>
      </c>
      <c r="G31" s="301">
        <f t="shared" si="18"/>
        <v>325166.03999999998</v>
      </c>
      <c r="H31" s="302">
        <f t="shared" si="19"/>
        <v>1950996.23</v>
      </c>
      <c r="I31" s="302">
        <v>0</v>
      </c>
      <c r="J31" s="303" t="str">
        <f t="shared" si="20"/>
        <v>-</v>
      </c>
      <c r="K31" s="302">
        <f t="shared" si="21"/>
        <v>526487920.33999997</v>
      </c>
      <c r="L31" s="302">
        <f>SUM(I32,I34:I44)</f>
        <v>25372124.100000001</v>
      </c>
      <c r="M31" s="302">
        <f t="shared" si="22"/>
        <v>501115796.24000001</v>
      </c>
      <c r="N31" s="302">
        <v>0</v>
      </c>
    </row>
    <row r="32" spans="1:14" ht="19.5" thickBot="1" x14ac:dyDescent="0.35">
      <c r="A32" s="285">
        <v>44166</v>
      </c>
      <c r="B32" s="286">
        <f t="shared" si="17"/>
        <v>526487920.33999997</v>
      </c>
      <c r="C32" s="286">
        <f t="shared" si="23"/>
        <v>25372124.100000001</v>
      </c>
      <c r="D32" s="286">
        <f t="shared" si="24"/>
        <v>501115796.24000001</v>
      </c>
      <c r="E32" s="286">
        <f>'Расчет по лизингу'!E30</f>
        <v>1625830.14</v>
      </c>
      <c r="F32" s="304">
        <f t="shared" si="25"/>
        <v>20</v>
      </c>
      <c r="G32" s="288">
        <f t="shared" si="18"/>
        <v>325166.03000000003</v>
      </c>
      <c r="H32" s="289">
        <f t="shared" si="19"/>
        <v>1950996.17</v>
      </c>
      <c r="I32" s="289">
        <v>0</v>
      </c>
      <c r="J32" s="290" t="str">
        <f t="shared" si="20"/>
        <v>-</v>
      </c>
      <c r="K32" s="289">
        <f t="shared" si="21"/>
        <v>526487920.33999997</v>
      </c>
      <c r="L32" s="289">
        <f>SUM(I34:I45)</f>
        <v>25372124.100000001</v>
      </c>
      <c r="M32" s="289">
        <f t="shared" si="22"/>
        <v>501115796.24000001</v>
      </c>
      <c r="N32" s="289">
        <v>0</v>
      </c>
    </row>
    <row r="33" spans="1:14" s="306" customFormat="1" ht="19.5" thickBot="1" x14ac:dyDescent="0.35">
      <c r="A33" s="291">
        <v>2020</v>
      </c>
      <c r="B33" s="292">
        <f>B21</f>
        <v>549261739.47000003</v>
      </c>
      <c r="C33" s="292">
        <f t="shared" ref="C33:D33" si="26">C21</f>
        <v>22773819.129999999</v>
      </c>
      <c r="D33" s="292">
        <f t="shared" si="26"/>
        <v>526487920.33999997</v>
      </c>
      <c r="E33" s="292">
        <f>SUM(E21:E32)</f>
        <v>19509962.23</v>
      </c>
      <c r="F33" s="305">
        <f t="shared" si="25"/>
        <v>20</v>
      </c>
      <c r="G33" s="294">
        <f t="shared" ref="G33:I33" si="27">SUM(G21:G32)</f>
        <v>3901992.47</v>
      </c>
      <c r="H33" s="295">
        <f t="shared" si="27"/>
        <v>23411954.699999999</v>
      </c>
      <c r="I33" s="295">
        <f t="shared" si="27"/>
        <v>22773819.129999999</v>
      </c>
      <c r="J33" s="296"/>
      <c r="K33" s="295">
        <f t="shared" ref="K33:M33" si="28">K32</f>
        <v>526487920.33999997</v>
      </c>
      <c r="L33" s="295">
        <f t="shared" si="28"/>
        <v>25372124.100000001</v>
      </c>
      <c r="M33" s="295">
        <f t="shared" si="28"/>
        <v>501115796.24000001</v>
      </c>
      <c r="N33" s="295">
        <f>N32</f>
        <v>0</v>
      </c>
    </row>
    <row r="34" spans="1:14" x14ac:dyDescent="0.3">
      <c r="A34" s="279">
        <v>44197</v>
      </c>
      <c r="B34" s="280">
        <f t="shared" ref="B34:B45" si="29">K33</f>
        <v>526487920.33999997</v>
      </c>
      <c r="C34" s="280">
        <f>L32</f>
        <v>25372124.100000001</v>
      </c>
      <c r="D34" s="280">
        <f>B34-C34</f>
        <v>501115796.24000001</v>
      </c>
      <c r="E34" s="280">
        <f>'Расчет по лизингу'!E32</f>
        <v>1807327.36</v>
      </c>
      <c r="F34" s="297">
        <f t="shared" si="25"/>
        <v>20</v>
      </c>
      <c r="G34" s="282">
        <f t="shared" ref="G34:G45" si="30">E34*F34/100</f>
        <v>361465.47</v>
      </c>
      <c r="H34" s="283">
        <f t="shared" ref="H34:H45" si="31">G34+E34</f>
        <v>2168792.83</v>
      </c>
      <c r="I34" s="283">
        <f t="shared" ref="I34" si="32">SUM(H30:H32)</f>
        <v>5852988.6299999999</v>
      </c>
      <c r="J34" s="284">
        <f t="shared" ref="J34:J45" si="33">IF(I34=0,"-",A34+19)</f>
        <v>44216</v>
      </c>
      <c r="K34" s="283">
        <f t="shared" ref="K34:K45" si="34">B34-I34</f>
        <v>520634931.70999998</v>
      </c>
      <c r="L34" s="283">
        <f>SUM(I35:I45,I47)</f>
        <v>26025513.969999999</v>
      </c>
      <c r="M34" s="283">
        <f>K34-L34</f>
        <v>494609417.74000001</v>
      </c>
      <c r="N34" s="283">
        <v>0</v>
      </c>
    </row>
    <row r="35" spans="1:14" x14ac:dyDescent="0.3">
      <c r="A35" s="298">
        <v>44228</v>
      </c>
      <c r="B35" s="299">
        <f t="shared" si="29"/>
        <v>520634931.70999998</v>
      </c>
      <c r="C35" s="299">
        <f>L34</f>
        <v>26025513.969999999</v>
      </c>
      <c r="D35" s="299">
        <f>B35-C35</f>
        <v>494609417.74000001</v>
      </c>
      <c r="E35" s="299">
        <f>'Расчет по лизингу'!E33</f>
        <v>1807327.36</v>
      </c>
      <c r="F35" s="300">
        <f t="shared" si="25"/>
        <v>20</v>
      </c>
      <c r="G35" s="301">
        <f t="shared" si="30"/>
        <v>361465.47</v>
      </c>
      <c r="H35" s="302">
        <f t="shared" si="31"/>
        <v>2168792.83</v>
      </c>
      <c r="I35" s="302">
        <v>0</v>
      </c>
      <c r="J35" s="303" t="str">
        <f t="shared" si="33"/>
        <v>-</v>
      </c>
      <c r="K35" s="302">
        <f t="shared" si="34"/>
        <v>520634931.70999998</v>
      </c>
      <c r="L35" s="302">
        <f>SUM(I36:I45,I47:I48)</f>
        <v>26025513.969999999</v>
      </c>
      <c r="M35" s="302">
        <f t="shared" ref="M35:M45" si="35">K35-L35</f>
        <v>494609417.74000001</v>
      </c>
      <c r="N35" s="302">
        <v>0</v>
      </c>
    </row>
    <row r="36" spans="1:14" x14ac:dyDescent="0.3">
      <c r="A36" s="298">
        <v>44256</v>
      </c>
      <c r="B36" s="299">
        <f t="shared" si="29"/>
        <v>520634931.70999998</v>
      </c>
      <c r="C36" s="299">
        <f t="shared" ref="C36:C45" si="36">L35</f>
        <v>26025513.969999999</v>
      </c>
      <c r="D36" s="299">
        <f t="shared" ref="D36:D45" si="37">B36-C36</f>
        <v>494609417.74000001</v>
      </c>
      <c r="E36" s="299">
        <f>'Расчет по лизингу'!E34</f>
        <v>1807327.36</v>
      </c>
      <c r="F36" s="300">
        <f t="shared" si="25"/>
        <v>20</v>
      </c>
      <c r="G36" s="301">
        <f t="shared" si="30"/>
        <v>361465.47</v>
      </c>
      <c r="H36" s="302">
        <f t="shared" si="31"/>
        <v>2168792.83</v>
      </c>
      <c r="I36" s="302">
        <v>0</v>
      </c>
      <c r="J36" s="303" t="str">
        <f t="shared" si="33"/>
        <v>-</v>
      </c>
      <c r="K36" s="302">
        <f t="shared" si="34"/>
        <v>520634931.70999998</v>
      </c>
      <c r="L36" s="302">
        <f>SUM(I37:I45,I47:I49)</f>
        <v>26025513.969999999</v>
      </c>
      <c r="M36" s="302">
        <f t="shared" si="35"/>
        <v>494609417.74000001</v>
      </c>
      <c r="N36" s="302">
        <v>0</v>
      </c>
    </row>
    <row r="37" spans="1:14" x14ac:dyDescent="0.3">
      <c r="A37" s="298">
        <v>44287</v>
      </c>
      <c r="B37" s="299">
        <f t="shared" si="29"/>
        <v>520634931.70999998</v>
      </c>
      <c r="C37" s="299">
        <f t="shared" si="36"/>
        <v>26025513.969999999</v>
      </c>
      <c r="D37" s="299">
        <f t="shared" si="37"/>
        <v>494609417.74000001</v>
      </c>
      <c r="E37" s="299">
        <f>'Расчет по лизингу'!E35</f>
        <v>1807327.36</v>
      </c>
      <c r="F37" s="300">
        <f t="shared" si="25"/>
        <v>20</v>
      </c>
      <c r="G37" s="301">
        <f t="shared" si="30"/>
        <v>361465.47</v>
      </c>
      <c r="H37" s="302">
        <f t="shared" si="31"/>
        <v>2168792.83</v>
      </c>
      <c r="I37" s="302">
        <f t="shared" ref="I37" si="38">SUM(H34:H36)</f>
        <v>6506378.4900000002</v>
      </c>
      <c r="J37" s="303">
        <f t="shared" si="33"/>
        <v>44306</v>
      </c>
      <c r="K37" s="302">
        <f t="shared" si="34"/>
        <v>514128553.22000003</v>
      </c>
      <c r="L37" s="302">
        <f>SUM(I38:I45,I47:I50)</f>
        <v>26694158.02</v>
      </c>
      <c r="M37" s="302">
        <f t="shared" si="35"/>
        <v>487434395.19999999</v>
      </c>
      <c r="N37" s="302">
        <v>0</v>
      </c>
    </row>
    <row r="38" spans="1:14" x14ac:dyDescent="0.3">
      <c r="A38" s="298">
        <v>44317</v>
      </c>
      <c r="B38" s="299">
        <f t="shared" si="29"/>
        <v>514128553.22000003</v>
      </c>
      <c r="C38" s="299">
        <f t="shared" si="36"/>
        <v>26694158.02</v>
      </c>
      <c r="D38" s="299">
        <f t="shared" si="37"/>
        <v>487434395.19999999</v>
      </c>
      <c r="E38" s="299">
        <f>'Расчет по лизингу'!E36</f>
        <v>1807327.36</v>
      </c>
      <c r="F38" s="300">
        <f t="shared" si="25"/>
        <v>20</v>
      </c>
      <c r="G38" s="301">
        <f t="shared" si="30"/>
        <v>361465.47</v>
      </c>
      <c r="H38" s="302">
        <f t="shared" si="31"/>
        <v>2168792.83</v>
      </c>
      <c r="I38" s="302">
        <v>0</v>
      </c>
      <c r="J38" s="303" t="str">
        <f t="shared" si="33"/>
        <v>-</v>
      </c>
      <c r="K38" s="302">
        <f t="shared" si="34"/>
        <v>514128553.22000003</v>
      </c>
      <c r="L38" s="302">
        <f>SUM(I39:I45,I47:I51)</f>
        <v>26694158.02</v>
      </c>
      <c r="M38" s="302">
        <f t="shared" si="35"/>
        <v>487434395.19999999</v>
      </c>
      <c r="N38" s="302">
        <v>0</v>
      </c>
    </row>
    <row r="39" spans="1:14" x14ac:dyDescent="0.3">
      <c r="A39" s="298">
        <v>44348</v>
      </c>
      <c r="B39" s="299">
        <f t="shared" si="29"/>
        <v>514128553.22000003</v>
      </c>
      <c r="C39" s="299">
        <f t="shared" si="36"/>
        <v>26694158.02</v>
      </c>
      <c r="D39" s="299">
        <f t="shared" si="37"/>
        <v>487434395.19999999</v>
      </c>
      <c r="E39" s="299">
        <f>'Расчет по лизингу'!E37</f>
        <v>1807327.36</v>
      </c>
      <c r="F39" s="300">
        <f t="shared" ref="F39:F50" si="39">F38</f>
        <v>20</v>
      </c>
      <c r="G39" s="301">
        <f t="shared" si="30"/>
        <v>361465.47</v>
      </c>
      <c r="H39" s="302">
        <f t="shared" si="31"/>
        <v>2168792.83</v>
      </c>
      <c r="I39" s="302">
        <v>0</v>
      </c>
      <c r="J39" s="303" t="str">
        <f t="shared" si="33"/>
        <v>-</v>
      </c>
      <c r="K39" s="302">
        <f t="shared" si="34"/>
        <v>514128553.22000003</v>
      </c>
      <c r="L39" s="302">
        <f>SUM(I40:I45,I47:I52)</f>
        <v>26694158.02</v>
      </c>
      <c r="M39" s="302">
        <f t="shared" si="35"/>
        <v>487434395.19999999</v>
      </c>
      <c r="N39" s="302">
        <v>0</v>
      </c>
    </row>
    <row r="40" spans="1:14" x14ac:dyDescent="0.3">
      <c r="A40" s="298">
        <v>44378</v>
      </c>
      <c r="B40" s="299">
        <f t="shared" si="29"/>
        <v>514128553.22000003</v>
      </c>
      <c r="C40" s="299">
        <f t="shared" si="36"/>
        <v>26694158.02</v>
      </c>
      <c r="D40" s="299">
        <f t="shared" si="37"/>
        <v>487434395.19999999</v>
      </c>
      <c r="E40" s="299">
        <f>'Расчет по лизингу'!E38</f>
        <v>1807327.36</v>
      </c>
      <c r="F40" s="300">
        <f t="shared" si="39"/>
        <v>20</v>
      </c>
      <c r="G40" s="301">
        <f t="shared" si="30"/>
        <v>361465.47</v>
      </c>
      <c r="H40" s="302">
        <f t="shared" si="31"/>
        <v>2168792.83</v>
      </c>
      <c r="I40" s="302">
        <f t="shared" ref="I40" si="40">SUM(H37:H39)</f>
        <v>6506378.4900000002</v>
      </c>
      <c r="J40" s="303">
        <f t="shared" si="33"/>
        <v>44397</v>
      </c>
      <c r="K40" s="302">
        <f t="shared" si="34"/>
        <v>507622174.73000002</v>
      </c>
      <c r="L40" s="302">
        <f>SUM(I41:I45,I47:I53)</f>
        <v>27362802.07</v>
      </c>
      <c r="M40" s="302">
        <f t="shared" si="35"/>
        <v>480259372.66000003</v>
      </c>
      <c r="N40" s="302">
        <v>0</v>
      </c>
    </row>
    <row r="41" spans="1:14" x14ac:dyDescent="0.3">
      <c r="A41" s="298">
        <v>44409</v>
      </c>
      <c r="B41" s="299">
        <f t="shared" si="29"/>
        <v>507622174.73000002</v>
      </c>
      <c r="C41" s="299">
        <f t="shared" si="36"/>
        <v>27362802.07</v>
      </c>
      <c r="D41" s="299">
        <f t="shared" si="37"/>
        <v>480259372.66000003</v>
      </c>
      <c r="E41" s="299">
        <f>'Расчет по лизингу'!E39</f>
        <v>1807327.36</v>
      </c>
      <c r="F41" s="300">
        <f t="shared" si="39"/>
        <v>20</v>
      </c>
      <c r="G41" s="301">
        <f t="shared" si="30"/>
        <v>361465.47</v>
      </c>
      <c r="H41" s="302">
        <f t="shared" si="31"/>
        <v>2168792.83</v>
      </c>
      <c r="I41" s="302">
        <v>0</v>
      </c>
      <c r="J41" s="303" t="str">
        <f t="shared" si="33"/>
        <v>-</v>
      </c>
      <c r="K41" s="302">
        <f t="shared" si="34"/>
        <v>507622174.73000002</v>
      </c>
      <c r="L41" s="302">
        <f>SUM(I42:I45,I47:I54)</f>
        <v>27362802.07</v>
      </c>
      <c r="M41" s="302">
        <f t="shared" si="35"/>
        <v>480259372.66000003</v>
      </c>
      <c r="N41" s="302">
        <v>0</v>
      </c>
    </row>
    <row r="42" spans="1:14" x14ac:dyDescent="0.3">
      <c r="A42" s="298">
        <v>44440</v>
      </c>
      <c r="B42" s="299">
        <f t="shared" si="29"/>
        <v>507622174.73000002</v>
      </c>
      <c r="C42" s="299">
        <f t="shared" si="36"/>
        <v>27362802.07</v>
      </c>
      <c r="D42" s="299">
        <f t="shared" si="37"/>
        <v>480259372.66000003</v>
      </c>
      <c r="E42" s="299">
        <f>'Расчет по лизингу'!E40</f>
        <v>1807327.36</v>
      </c>
      <c r="F42" s="300">
        <f t="shared" si="39"/>
        <v>20</v>
      </c>
      <c r="G42" s="301">
        <f t="shared" si="30"/>
        <v>361465.47</v>
      </c>
      <c r="H42" s="302">
        <f t="shared" si="31"/>
        <v>2168792.83</v>
      </c>
      <c r="I42" s="302">
        <v>0</v>
      </c>
      <c r="J42" s="303" t="str">
        <f t="shared" si="33"/>
        <v>-</v>
      </c>
      <c r="K42" s="302">
        <f t="shared" si="34"/>
        <v>507622174.73000002</v>
      </c>
      <c r="L42" s="302">
        <f>SUM(I43:I45,I47:I55)</f>
        <v>27362802.07</v>
      </c>
      <c r="M42" s="302">
        <f t="shared" si="35"/>
        <v>480259372.66000003</v>
      </c>
      <c r="N42" s="302">
        <v>0</v>
      </c>
    </row>
    <row r="43" spans="1:14" x14ac:dyDescent="0.3">
      <c r="A43" s="298">
        <v>44470</v>
      </c>
      <c r="B43" s="299">
        <f t="shared" si="29"/>
        <v>507622174.73000002</v>
      </c>
      <c r="C43" s="299">
        <f t="shared" si="36"/>
        <v>27362802.07</v>
      </c>
      <c r="D43" s="299">
        <f t="shared" si="37"/>
        <v>480259372.66000003</v>
      </c>
      <c r="E43" s="299">
        <f>'Расчет по лизингу'!E41</f>
        <v>1807327.36</v>
      </c>
      <c r="F43" s="300">
        <f t="shared" si="39"/>
        <v>20</v>
      </c>
      <c r="G43" s="301">
        <f t="shared" si="30"/>
        <v>361465.47</v>
      </c>
      <c r="H43" s="302">
        <f t="shared" si="31"/>
        <v>2168792.83</v>
      </c>
      <c r="I43" s="302">
        <f t="shared" ref="I43" si="41">SUM(H40:H42)</f>
        <v>6506378.4900000002</v>
      </c>
      <c r="J43" s="303">
        <f t="shared" si="33"/>
        <v>44489</v>
      </c>
      <c r="K43" s="302">
        <f t="shared" si="34"/>
        <v>501115796.24000001</v>
      </c>
      <c r="L43" s="302">
        <f>SUM(I44:I45,I47:I56)</f>
        <v>28031446.120000001</v>
      </c>
      <c r="M43" s="302">
        <f t="shared" si="35"/>
        <v>473084350.12</v>
      </c>
      <c r="N43" s="302">
        <v>0</v>
      </c>
    </row>
    <row r="44" spans="1:14" x14ac:dyDescent="0.3">
      <c r="A44" s="298">
        <v>44501</v>
      </c>
      <c r="B44" s="299">
        <f t="shared" si="29"/>
        <v>501115796.24000001</v>
      </c>
      <c r="C44" s="299">
        <f t="shared" si="36"/>
        <v>28031446.120000001</v>
      </c>
      <c r="D44" s="299">
        <f t="shared" si="37"/>
        <v>473084350.12</v>
      </c>
      <c r="E44" s="299">
        <f>'Расчет по лизингу'!E42</f>
        <v>1807327.36</v>
      </c>
      <c r="F44" s="300">
        <f t="shared" si="39"/>
        <v>20</v>
      </c>
      <c r="G44" s="301">
        <f t="shared" si="30"/>
        <v>361465.47</v>
      </c>
      <c r="H44" s="302">
        <f t="shared" si="31"/>
        <v>2168792.83</v>
      </c>
      <c r="I44" s="302">
        <v>0</v>
      </c>
      <c r="J44" s="303" t="str">
        <f t="shared" si="33"/>
        <v>-</v>
      </c>
      <c r="K44" s="302">
        <f t="shared" si="34"/>
        <v>501115796.24000001</v>
      </c>
      <c r="L44" s="302">
        <f>SUM(I45,I47:I57)</f>
        <v>28031446.120000001</v>
      </c>
      <c r="M44" s="302">
        <f t="shared" si="35"/>
        <v>473084350.12</v>
      </c>
      <c r="N44" s="302">
        <v>0</v>
      </c>
    </row>
    <row r="45" spans="1:14" ht="19.5" thickBot="1" x14ac:dyDescent="0.35">
      <c r="A45" s="285">
        <v>44531</v>
      </c>
      <c r="B45" s="286">
        <f t="shared" si="29"/>
        <v>501115796.24000001</v>
      </c>
      <c r="C45" s="286">
        <f t="shared" si="36"/>
        <v>28031446.120000001</v>
      </c>
      <c r="D45" s="286">
        <f t="shared" si="37"/>
        <v>473084350.12</v>
      </c>
      <c r="E45" s="286">
        <f>'Расчет по лизингу'!E43</f>
        <v>1807327.37</v>
      </c>
      <c r="F45" s="304">
        <f t="shared" si="39"/>
        <v>20</v>
      </c>
      <c r="G45" s="288">
        <f t="shared" si="30"/>
        <v>361465.47</v>
      </c>
      <c r="H45" s="289">
        <f t="shared" si="31"/>
        <v>2168792.84</v>
      </c>
      <c r="I45" s="289">
        <v>0</v>
      </c>
      <c r="J45" s="290" t="str">
        <f t="shared" si="33"/>
        <v>-</v>
      </c>
      <c r="K45" s="289">
        <f t="shared" si="34"/>
        <v>501115796.24000001</v>
      </c>
      <c r="L45" s="289">
        <f>SUM(I47:I58)</f>
        <v>28031446.120000001</v>
      </c>
      <c r="M45" s="289">
        <f t="shared" si="35"/>
        <v>473084350.12</v>
      </c>
      <c r="N45" s="289">
        <v>0</v>
      </c>
    </row>
    <row r="46" spans="1:14" s="306" customFormat="1" ht="19.5" thickBot="1" x14ac:dyDescent="0.35">
      <c r="A46" s="291">
        <v>2021</v>
      </c>
      <c r="B46" s="292">
        <f>B34</f>
        <v>526487920.33999997</v>
      </c>
      <c r="C46" s="292">
        <f t="shared" ref="C46:D46" si="42">C34</f>
        <v>25372124.100000001</v>
      </c>
      <c r="D46" s="292">
        <f t="shared" si="42"/>
        <v>501115796.24000001</v>
      </c>
      <c r="E46" s="292">
        <f t="shared" ref="E46" si="43">SUM(E34:E45)</f>
        <v>21687928.329999998</v>
      </c>
      <c r="F46" s="305">
        <f t="shared" si="39"/>
        <v>20</v>
      </c>
      <c r="G46" s="294">
        <f t="shared" ref="G46:I46" si="44">SUM(G34:G45)</f>
        <v>4337585.6399999997</v>
      </c>
      <c r="H46" s="295">
        <f t="shared" si="44"/>
        <v>26025513.969999999</v>
      </c>
      <c r="I46" s="295">
        <f t="shared" si="44"/>
        <v>25372124.100000001</v>
      </c>
      <c r="J46" s="296"/>
      <c r="K46" s="295">
        <f t="shared" ref="K46:N46" si="45">K45</f>
        <v>501115796.24000001</v>
      </c>
      <c r="L46" s="295">
        <f t="shared" si="45"/>
        <v>28031446.120000001</v>
      </c>
      <c r="M46" s="295">
        <f t="shared" si="45"/>
        <v>473084350.12</v>
      </c>
      <c r="N46" s="295">
        <f t="shared" si="45"/>
        <v>0</v>
      </c>
    </row>
    <row r="47" spans="1:14" x14ac:dyDescent="0.3">
      <c r="A47" s="279">
        <v>44562</v>
      </c>
      <c r="B47" s="280">
        <f t="shared" ref="B47:B58" si="46">K46</f>
        <v>501115796.24000001</v>
      </c>
      <c r="C47" s="280">
        <f>L45</f>
        <v>28031446.120000001</v>
      </c>
      <c r="D47" s="280">
        <f>B47-C47</f>
        <v>473084350.12</v>
      </c>
      <c r="E47" s="280">
        <f>'Расчет по лизингу'!E45</f>
        <v>1993061.82</v>
      </c>
      <c r="F47" s="297">
        <f t="shared" si="39"/>
        <v>20</v>
      </c>
      <c r="G47" s="282">
        <f t="shared" ref="G47:G58" si="47">E47*F47/100</f>
        <v>398612.36</v>
      </c>
      <c r="H47" s="283">
        <f t="shared" ref="H47:H58" si="48">G47+E47</f>
        <v>2391674.1800000002</v>
      </c>
      <c r="I47" s="283">
        <f t="shared" ref="I47" si="49">SUM(H43:H45)</f>
        <v>6506378.5</v>
      </c>
      <c r="J47" s="284">
        <f t="shared" ref="J47:J58" si="50">IF(I47=0,"-",A47+19)</f>
        <v>44581</v>
      </c>
      <c r="K47" s="283">
        <f t="shared" ref="K47:K58" si="51">B47-I47</f>
        <v>494609417.74000001</v>
      </c>
      <c r="L47" s="283">
        <f>SUM(I48:I58,I60)</f>
        <v>28700090.219999999</v>
      </c>
      <c r="M47" s="283">
        <f>K47-L47</f>
        <v>465909327.51999998</v>
      </c>
      <c r="N47" s="283">
        <v>0</v>
      </c>
    </row>
    <row r="48" spans="1:14" x14ac:dyDescent="0.3">
      <c r="A48" s="298">
        <v>44593</v>
      </c>
      <c r="B48" s="299">
        <f t="shared" si="46"/>
        <v>494609417.74000001</v>
      </c>
      <c r="C48" s="299">
        <f>L47</f>
        <v>28700090.219999999</v>
      </c>
      <c r="D48" s="299">
        <f>B48-C48</f>
        <v>465909327.51999998</v>
      </c>
      <c r="E48" s="299">
        <f>'Расчет по лизингу'!E46</f>
        <v>1993061.82</v>
      </c>
      <c r="F48" s="300">
        <f t="shared" si="39"/>
        <v>20</v>
      </c>
      <c r="G48" s="301">
        <f t="shared" si="47"/>
        <v>398612.36</v>
      </c>
      <c r="H48" s="302">
        <f t="shared" si="48"/>
        <v>2391674.1800000002</v>
      </c>
      <c r="I48" s="302">
        <v>0</v>
      </c>
      <c r="J48" s="303" t="str">
        <f t="shared" si="50"/>
        <v>-</v>
      </c>
      <c r="K48" s="302">
        <f t="shared" si="51"/>
        <v>494609417.74000001</v>
      </c>
      <c r="L48" s="302">
        <f>SUM(I49:I58,I60:I61)</f>
        <v>28700090.219999999</v>
      </c>
      <c r="M48" s="302">
        <f t="shared" ref="M48:M58" si="52">K48-L48</f>
        <v>465909327.51999998</v>
      </c>
      <c r="N48" s="302">
        <v>0</v>
      </c>
    </row>
    <row r="49" spans="1:14" x14ac:dyDescent="0.3">
      <c r="A49" s="298">
        <v>44621</v>
      </c>
      <c r="B49" s="299">
        <f t="shared" si="46"/>
        <v>494609417.74000001</v>
      </c>
      <c r="C49" s="299">
        <f t="shared" ref="C49:C58" si="53">L48</f>
        <v>28700090.219999999</v>
      </c>
      <c r="D49" s="299">
        <f t="shared" ref="D49:D58" si="54">B49-C49</f>
        <v>465909327.51999998</v>
      </c>
      <c r="E49" s="299">
        <f>'Расчет по лизингу'!E47</f>
        <v>1993061.82</v>
      </c>
      <c r="F49" s="300">
        <f t="shared" si="39"/>
        <v>20</v>
      </c>
      <c r="G49" s="301">
        <f t="shared" si="47"/>
        <v>398612.36</v>
      </c>
      <c r="H49" s="302">
        <f t="shared" si="48"/>
        <v>2391674.1800000002</v>
      </c>
      <c r="I49" s="302">
        <v>0</v>
      </c>
      <c r="J49" s="303" t="str">
        <f t="shared" si="50"/>
        <v>-</v>
      </c>
      <c r="K49" s="302">
        <f t="shared" si="51"/>
        <v>494609417.74000001</v>
      </c>
      <c r="L49" s="302">
        <f>SUM(I50:I58,I60:I62)</f>
        <v>28700090.219999999</v>
      </c>
      <c r="M49" s="302">
        <f t="shared" si="52"/>
        <v>465909327.51999998</v>
      </c>
      <c r="N49" s="302">
        <v>0</v>
      </c>
    </row>
    <row r="50" spans="1:14" x14ac:dyDescent="0.3">
      <c r="A50" s="298">
        <v>44652</v>
      </c>
      <c r="B50" s="299">
        <f t="shared" si="46"/>
        <v>494609417.74000001</v>
      </c>
      <c r="C50" s="299">
        <f t="shared" si="53"/>
        <v>28700090.219999999</v>
      </c>
      <c r="D50" s="299">
        <f t="shared" si="54"/>
        <v>465909327.51999998</v>
      </c>
      <c r="E50" s="299">
        <f>'Расчет по лизингу'!E48</f>
        <v>1993061.82</v>
      </c>
      <c r="F50" s="300">
        <f t="shared" si="39"/>
        <v>20</v>
      </c>
      <c r="G50" s="301">
        <f t="shared" si="47"/>
        <v>398612.36</v>
      </c>
      <c r="H50" s="302">
        <f t="shared" si="48"/>
        <v>2391674.1800000002</v>
      </c>
      <c r="I50" s="302">
        <f t="shared" ref="I50" si="55">SUM(H47:H49)</f>
        <v>7175022.54</v>
      </c>
      <c r="J50" s="303">
        <f t="shared" si="50"/>
        <v>44671</v>
      </c>
      <c r="K50" s="302">
        <f t="shared" si="51"/>
        <v>487434395.19999999</v>
      </c>
      <c r="L50" s="302">
        <f>SUM(I51:I58,I60:I63)</f>
        <v>29386530.93</v>
      </c>
      <c r="M50" s="302">
        <f t="shared" si="52"/>
        <v>458047864.26999998</v>
      </c>
      <c r="N50" s="302">
        <v>0</v>
      </c>
    </row>
    <row r="51" spans="1:14" x14ac:dyDescent="0.3">
      <c r="A51" s="298">
        <v>44682</v>
      </c>
      <c r="B51" s="299">
        <f t="shared" si="46"/>
        <v>487434395.19999999</v>
      </c>
      <c r="C51" s="299">
        <f t="shared" si="53"/>
        <v>29386530.93</v>
      </c>
      <c r="D51" s="299">
        <f t="shared" si="54"/>
        <v>458047864.26999998</v>
      </c>
      <c r="E51" s="299">
        <f>'Расчет по лизингу'!E49</f>
        <v>1993061.82</v>
      </c>
      <c r="F51" s="300">
        <f t="shared" ref="F51:F63" si="56">F50</f>
        <v>20</v>
      </c>
      <c r="G51" s="301">
        <f t="shared" si="47"/>
        <v>398612.36</v>
      </c>
      <c r="H51" s="302">
        <f t="shared" si="48"/>
        <v>2391674.1800000002</v>
      </c>
      <c r="I51" s="302">
        <v>0</v>
      </c>
      <c r="J51" s="303" t="str">
        <f t="shared" si="50"/>
        <v>-</v>
      </c>
      <c r="K51" s="302">
        <f t="shared" si="51"/>
        <v>487434395.19999999</v>
      </c>
      <c r="L51" s="302">
        <f>SUM(I52:I58,I60:I64)</f>
        <v>29386530.93</v>
      </c>
      <c r="M51" s="302">
        <f t="shared" si="52"/>
        <v>458047864.26999998</v>
      </c>
      <c r="N51" s="302">
        <v>0</v>
      </c>
    </row>
    <row r="52" spans="1:14" x14ac:dyDescent="0.3">
      <c r="A52" s="298">
        <v>44713</v>
      </c>
      <c r="B52" s="299">
        <f t="shared" si="46"/>
        <v>487434395.19999999</v>
      </c>
      <c r="C52" s="299">
        <f t="shared" si="53"/>
        <v>29386530.93</v>
      </c>
      <c r="D52" s="299">
        <f t="shared" si="54"/>
        <v>458047864.26999998</v>
      </c>
      <c r="E52" s="299">
        <f>'Расчет по лизингу'!E50</f>
        <v>1993061.82</v>
      </c>
      <c r="F52" s="300">
        <f t="shared" si="56"/>
        <v>20</v>
      </c>
      <c r="G52" s="301">
        <f t="shared" si="47"/>
        <v>398612.36</v>
      </c>
      <c r="H52" s="302">
        <f t="shared" si="48"/>
        <v>2391674.1800000002</v>
      </c>
      <c r="I52" s="302">
        <v>0</v>
      </c>
      <c r="J52" s="303" t="str">
        <f t="shared" si="50"/>
        <v>-</v>
      </c>
      <c r="K52" s="302">
        <f t="shared" si="51"/>
        <v>487434395.19999999</v>
      </c>
      <c r="L52" s="302">
        <f>SUM(I53:I58,I60:I65)</f>
        <v>29386530.93</v>
      </c>
      <c r="M52" s="302">
        <f t="shared" si="52"/>
        <v>458047864.26999998</v>
      </c>
      <c r="N52" s="302">
        <v>0</v>
      </c>
    </row>
    <row r="53" spans="1:14" x14ac:dyDescent="0.3">
      <c r="A53" s="298">
        <v>44743</v>
      </c>
      <c r="B53" s="299">
        <f t="shared" si="46"/>
        <v>487434395.19999999</v>
      </c>
      <c r="C53" s="299">
        <f t="shared" si="53"/>
        <v>29386530.93</v>
      </c>
      <c r="D53" s="299">
        <f t="shared" si="54"/>
        <v>458047864.26999998</v>
      </c>
      <c r="E53" s="299">
        <f>'Расчет по лизингу'!E51</f>
        <v>1993061.82</v>
      </c>
      <c r="F53" s="300">
        <f t="shared" si="56"/>
        <v>20</v>
      </c>
      <c r="G53" s="301">
        <f t="shared" si="47"/>
        <v>398612.36</v>
      </c>
      <c r="H53" s="302">
        <f t="shared" si="48"/>
        <v>2391674.1800000002</v>
      </c>
      <c r="I53" s="302">
        <f t="shared" ref="I53" si="57">SUM(H50:H52)</f>
        <v>7175022.54</v>
      </c>
      <c r="J53" s="303">
        <f t="shared" si="50"/>
        <v>44762</v>
      </c>
      <c r="K53" s="302">
        <f t="shared" si="51"/>
        <v>480259372.66000003</v>
      </c>
      <c r="L53" s="302">
        <f>SUM(I54:I58,I60:I66)</f>
        <v>30072971.640000001</v>
      </c>
      <c r="M53" s="302">
        <f t="shared" si="52"/>
        <v>450186401.01999998</v>
      </c>
      <c r="N53" s="302">
        <v>0</v>
      </c>
    </row>
    <row r="54" spans="1:14" x14ac:dyDescent="0.3">
      <c r="A54" s="298">
        <v>44774</v>
      </c>
      <c r="B54" s="299">
        <f t="shared" si="46"/>
        <v>480259372.66000003</v>
      </c>
      <c r="C54" s="299">
        <f t="shared" si="53"/>
        <v>30072971.640000001</v>
      </c>
      <c r="D54" s="299">
        <f t="shared" si="54"/>
        <v>450186401.01999998</v>
      </c>
      <c r="E54" s="299">
        <f>'Расчет по лизингу'!E52</f>
        <v>1993061.82</v>
      </c>
      <c r="F54" s="300">
        <f t="shared" si="56"/>
        <v>20</v>
      </c>
      <c r="G54" s="301">
        <f t="shared" si="47"/>
        <v>398612.36</v>
      </c>
      <c r="H54" s="302">
        <f t="shared" si="48"/>
        <v>2391674.1800000002</v>
      </c>
      <c r="I54" s="302">
        <v>0</v>
      </c>
      <c r="J54" s="303" t="str">
        <f t="shared" si="50"/>
        <v>-</v>
      </c>
      <c r="K54" s="302">
        <f t="shared" si="51"/>
        <v>480259372.66000003</v>
      </c>
      <c r="L54" s="302">
        <f>SUM(I55:I58,I60:I67)</f>
        <v>30072971.640000001</v>
      </c>
      <c r="M54" s="302">
        <f t="shared" si="52"/>
        <v>450186401.01999998</v>
      </c>
      <c r="N54" s="302">
        <v>0</v>
      </c>
    </row>
    <row r="55" spans="1:14" x14ac:dyDescent="0.3">
      <c r="A55" s="298">
        <v>44805</v>
      </c>
      <c r="B55" s="299">
        <f t="shared" si="46"/>
        <v>480259372.66000003</v>
      </c>
      <c r="C55" s="299">
        <f t="shared" si="53"/>
        <v>30072971.640000001</v>
      </c>
      <c r="D55" s="299">
        <f t="shared" si="54"/>
        <v>450186401.01999998</v>
      </c>
      <c r="E55" s="299">
        <f>'Расчет по лизингу'!E53</f>
        <v>1993061.82</v>
      </c>
      <c r="F55" s="300">
        <f t="shared" si="56"/>
        <v>20</v>
      </c>
      <c r="G55" s="301">
        <f t="shared" si="47"/>
        <v>398612.36</v>
      </c>
      <c r="H55" s="302">
        <f t="shared" si="48"/>
        <v>2391674.1800000002</v>
      </c>
      <c r="I55" s="302">
        <v>0</v>
      </c>
      <c r="J55" s="303" t="str">
        <f t="shared" si="50"/>
        <v>-</v>
      </c>
      <c r="K55" s="302">
        <f t="shared" si="51"/>
        <v>480259372.66000003</v>
      </c>
      <c r="L55" s="302">
        <f>SUM(I56:I58,I60:I68)</f>
        <v>30072971.640000001</v>
      </c>
      <c r="M55" s="302">
        <f t="shared" si="52"/>
        <v>450186401.01999998</v>
      </c>
      <c r="N55" s="302">
        <v>0</v>
      </c>
    </row>
    <row r="56" spans="1:14" x14ac:dyDescent="0.3">
      <c r="A56" s="298">
        <v>44835</v>
      </c>
      <c r="B56" s="299">
        <f t="shared" si="46"/>
        <v>480259372.66000003</v>
      </c>
      <c r="C56" s="299">
        <f t="shared" si="53"/>
        <v>30072971.640000001</v>
      </c>
      <c r="D56" s="299">
        <f t="shared" si="54"/>
        <v>450186401.01999998</v>
      </c>
      <c r="E56" s="299">
        <f>'Расчет по лизингу'!E54</f>
        <v>1993061.82</v>
      </c>
      <c r="F56" s="300">
        <f t="shared" si="56"/>
        <v>20</v>
      </c>
      <c r="G56" s="301">
        <f t="shared" si="47"/>
        <v>398612.36</v>
      </c>
      <c r="H56" s="302">
        <f t="shared" si="48"/>
        <v>2391674.1800000002</v>
      </c>
      <c r="I56" s="302">
        <f t="shared" ref="I56" si="58">SUM(H53:H55)</f>
        <v>7175022.54</v>
      </c>
      <c r="J56" s="303">
        <f t="shared" si="50"/>
        <v>44854</v>
      </c>
      <c r="K56" s="302">
        <f t="shared" si="51"/>
        <v>473084350.12</v>
      </c>
      <c r="L56" s="302">
        <f>SUM(I57:I58,I60:I69)</f>
        <v>30759412.350000001</v>
      </c>
      <c r="M56" s="302">
        <f t="shared" si="52"/>
        <v>442324937.76999998</v>
      </c>
      <c r="N56" s="302">
        <v>0</v>
      </c>
    </row>
    <row r="57" spans="1:14" x14ac:dyDescent="0.3">
      <c r="A57" s="298">
        <v>44866</v>
      </c>
      <c r="B57" s="299">
        <f t="shared" si="46"/>
        <v>473084350.12</v>
      </c>
      <c r="C57" s="299">
        <f t="shared" si="53"/>
        <v>30759412.350000001</v>
      </c>
      <c r="D57" s="299">
        <f t="shared" si="54"/>
        <v>442324937.76999998</v>
      </c>
      <c r="E57" s="299">
        <f>'Расчет по лизингу'!E55</f>
        <v>1993061.82</v>
      </c>
      <c r="F57" s="300">
        <f t="shared" si="56"/>
        <v>20</v>
      </c>
      <c r="G57" s="301">
        <f t="shared" si="47"/>
        <v>398612.36</v>
      </c>
      <c r="H57" s="302">
        <f t="shared" si="48"/>
        <v>2391674.1800000002</v>
      </c>
      <c r="I57" s="302">
        <v>0</v>
      </c>
      <c r="J57" s="303" t="str">
        <f t="shared" si="50"/>
        <v>-</v>
      </c>
      <c r="K57" s="302">
        <f t="shared" si="51"/>
        <v>473084350.12</v>
      </c>
      <c r="L57" s="302">
        <f>SUM(I58,I60:I70)</f>
        <v>30759412.350000001</v>
      </c>
      <c r="M57" s="302">
        <f t="shared" si="52"/>
        <v>442324937.76999998</v>
      </c>
      <c r="N57" s="302">
        <v>0</v>
      </c>
    </row>
    <row r="58" spans="1:14" ht="19.5" thickBot="1" x14ac:dyDescent="0.35">
      <c r="A58" s="285">
        <v>44896</v>
      </c>
      <c r="B58" s="286">
        <f t="shared" si="46"/>
        <v>473084350.12</v>
      </c>
      <c r="C58" s="286">
        <f t="shared" si="53"/>
        <v>30759412.350000001</v>
      </c>
      <c r="D58" s="286">
        <f t="shared" si="54"/>
        <v>442324937.76999998</v>
      </c>
      <c r="E58" s="286">
        <f>'Расчет по лизингу'!E56</f>
        <v>1993061.87</v>
      </c>
      <c r="F58" s="304">
        <f t="shared" si="56"/>
        <v>20</v>
      </c>
      <c r="G58" s="288">
        <f t="shared" si="47"/>
        <v>398612.37</v>
      </c>
      <c r="H58" s="289">
        <f t="shared" si="48"/>
        <v>2391674.2400000002</v>
      </c>
      <c r="I58" s="289">
        <v>0</v>
      </c>
      <c r="J58" s="290" t="str">
        <f t="shared" si="50"/>
        <v>-</v>
      </c>
      <c r="K58" s="289">
        <f t="shared" si="51"/>
        <v>473084350.12</v>
      </c>
      <c r="L58" s="289">
        <f>SUM(I60:I71)</f>
        <v>30759412.350000001</v>
      </c>
      <c r="M58" s="289">
        <f t="shared" si="52"/>
        <v>442324937.76999998</v>
      </c>
      <c r="N58" s="289">
        <v>0</v>
      </c>
    </row>
    <row r="59" spans="1:14" s="306" customFormat="1" ht="19.5" thickBot="1" x14ac:dyDescent="0.35">
      <c r="A59" s="291">
        <v>2022</v>
      </c>
      <c r="B59" s="292">
        <f>B47</f>
        <v>501115796.24000001</v>
      </c>
      <c r="C59" s="292">
        <f t="shared" ref="C59:D59" si="59">C47</f>
        <v>28031446.120000001</v>
      </c>
      <c r="D59" s="292">
        <f t="shared" si="59"/>
        <v>473084350.12</v>
      </c>
      <c r="E59" s="292">
        <f t="shared" ref="E59" si="60">SUM(E47:E58)</f>
        <v>23916741.890000001</v>
      </c>
      <c r="F59" s="305">
        <f t="shared" si="56"/>
        <v>20</v>
      </c>
      <c r="G59" s="294">
        <f t="shared" ref="G59:I59" si="61">SUM(G47:G58)</f>
        <v>4783348.33</v>
      </c>
      <c r="H59" s="295">
        <f t="shared" si="61"/>
        <v>28700090.219999999</v>
      </c>
      <c r="I59" s="295">
        <f t="shared" si="61"/>
        <v>28031446.120000001</v>
      </c>
      <c r="J59" s="296"/>
      <c r="K59" s="295">
        <f t="shared" ref="K59:N59" si="62">K58</f>
        <v>473084350.12</v>
      </c>
      <c r="L59" s="295">
        <f t="shared" si="62"/>
        <v>30759412.350000001</v>
      </c>
      <c r="M59" s="295">
        <f t="shared" si="62"/>
        <v>442324937.76999998</v>
      </c>
      <c r="N59" s="295">
        <f t="shared" si="62"/>
        <v>0</v>
      </c>
    </row>
    <row r="60" spans="1:14" x14ac:dyDescent="0.3">
      <c r="A60" s="279">
        <v>44927</v>
      </c>
      <c r="B60" s="280">
        <f t="shared" ref="B60:B71" si="63">K59</f>
        <v>473084350.12</v>
      </c>
      <c r="C60" s="280">
        <f>L58</f>
        <v>30759412.350000001</v>
      </c>
      <c r="D60" s="280">
        <f>B60-C60</f>
        <v>442324937.76999998</v>
      </c>
      <c r="E60" s="280">
        <f>'Расчет по лизингу'!E58</f>
        <v>2183739.79</v>
      </c>
      <c r="F60" s="297">
        <f t="shared" si="56"/>
        <v>20</v>
      </c>
      <c r="G60" s="282">
        <f t="shared" ref="G60:G71" si="64">E60*F60/100</f>
        <v>436747.96</v>
      </c>
      <c r="H60" s="283">
        <f t="shared" ref="H60:H71" si="65">G60+E60</f>
        <v>2620487.75</v>
      </c>
      <c r="I60" s="283">
        <f t="shared" ref="I60" si="66">SUM(H56:H58)</f>
        <v>7175022.5999999996</v>
      </c>
      <c r="J60" s="284">
        <f t="shared" ref="J60:J71" si="67">IF(I60=0,"-",A60+19)</f>
        <v>44946</v>
      </c>
      <c r="K60" s="283">
        <f t="shared" ref="K60:K71" si="68">B60-I60</f>
        <v>465909327.51999998</v>
      </c>
      <c r="L60" s="283">
        <f>SUM(I61:I71,I73)</f>
        <v>31445853</v>
      </c>
      <c r="M60" s="283">
        <f>K60-L60</f>
        <v>434463474.51999998</v>
      </c>
      <c r="N60" s="283">
        <v>0</v>
      </c>
    </row>
    <row r="61" spans="1:14" x14ac:dyDescent="0.3">
      <c r="A61" s="298">
        <v>44958</v>
      </c>
      <c r="B61" s="299">
        <f t="shared" si="63"/>
        <v>465909327.51999998</v>
      </c>
      <c r="C61" s="299">
        <f>L60</f>
        <v>31445853</v>
      </c>
      <c r="D61" s="299">
        <f>B61-C61</f>
        <v>434463474.51999998</v>
      </c>
      <c r="E61" s="299">
        <f>'Расчет по лизингу'!E59</f>
        <v>2183739.79</v>
      </c>
      <c r="F61" s="300">
        <f t="shared" si="56"/>
        <v>20</v>
      </c>
      <c r="G61" s="301">
        <f t="shared" si="64"/>
        <v>436747.96</v>
      </c>
      <c r="H61" s="302">
        <f t="shared" si="65"/>
        <v>2620487.75</v>
      </c>
      <c r="I61" s="302">
        <v>0</v>
      </c>
      <c r="J61" s="303" t="str">
        <f t="shared" si="67"/>
        <v>-</v>
      </c>
      <c r="K61" s="302">
        <f t="shared" si="68"/>
        <v>465909327.51999998</v>
      </c>
      <c r="L61" s="302">
        <f>SUM(I62:I71,I73:I74)</f>
        <v>31445853</v>
      </c>
      <c r="M61" s="302">
        <f t="shared" ref="M61:M71" si="69">K61-L61</f>
        <v>434463474.51999998</v>
      </c>
      <c r="N61" s="302">
        <v>0</v>
      </c>
    </row>
    <row r="62" spans="1:14" x14ac:dyDescent="0.3">
      <c r="A62" s="298">
        <v>44986</v>
      </c>
      <c r="B62" s="299">
        <f t="shared" si="63"/>
        <v>465909327.51999998</v>
      </c>
      <c r="C62" s="299">
        <f t="shared" ref="C62:C71" si="70">L61</f>
        <v>31445853</v>
      </c>
      <c r="D62" s="299">
        <f t="shared" ref="D62:D71" si="71">B62-C62</f>
        <v>434463474.51999998</v>
      </c>
      <c r="E62" s="299">
        <f>'Расчет по лизингу'!E60</f>
        <v>2183739.79</v>
      </c>
      <c r="F62" s="300">
        <f t="shared" si="56"/>
        <v>20</v>
      </c>
      <c r="G62" s="301">
        <f t="shared" si="64"/>
        <v>436747.96</v>
      </c>
      <c r="H62" s="302">
        <f t="shared" si="65"/>
        <v>2620487.75</v>
      </c>
      <c r="I62" s="302">
        <v>0</v>
      </c>
      <c r="J62" s="303" t="str">
        <f t="shared" si="67"/>
        <v>-</v>
      </c>
      <c r="K62" s="302">
        <f t="shared" si="68"/>
        <v>465909327.51999998</v>
      </c>
      <c r="L62" s="302">
        <f>SUM(I63:I71,I73:I75)</f>
        <v>31445853</v>
      </c>
      <c r="M62" s="302">
        <f t="shared" si="69"/>
        <v>434463474.51999998</v>
      </c>
      <c r="N62" s="302">
        <v>0</v>
      </c>
    </row>
    <row r="63" spans="1:14" x14ac:dyDescent="0.3">
      <c r="A63" s="298">
        <v>45017</v>
      </c>
      <c r="B63" s="299">
        <f t="shared" si="63"/>
        <v>465909327.51999998</v>
      </c>
      <c r="C63" s="299">
        <f t="shared" si="70"/>
        <v>31445853</v>
      </c>
      <c r="D63" s="299">
        <f t="shared" si="71"/>
        <v>434463474.51999998</v>
      </c>
      <c r="E63" s="299">
        <f>'Расчет по лизингу'!E61</f>
        <v>2183739.79</v>
      </c>
      <c r="F63" s="300">
        <f t="shared" si="56"/>
        <v>20</v>
      </c>
      <c r="G63" s="301">
        <f t="shared" si="64"/>
        <v>436747.96</v>
      </c>
      <c r="H63" s="302">
        <f t="shared" si="65"/>
        <v>2620487.75</v>
      </c>
      <c r="I63" s="302">
        <f t="shared" ref="I63" si="72">SUM(H60:H62)</f>
        <v>7861463.25</v>
      </c>
      <c r="J63" s="303">
        <f t="shared" si="67"/>
        <v>45036</v>
      </c>
      <c r="K63" s="302">
        <f t="shared" si="68"/>
        <v>458047864.26999998</v>
      </c>
      <c r="L63" s="302">
        <f>SUM(I64:I71,I73:I76)</f>
        <v>32147547.899999999</v>
      </c>
      <c r="M63" s="302">
        <f t="shared" si="69"/>
        <v>425900316.37</v>
      </c>
      <c r="N63" s="302">
        <v>0</v>
      </c>
    </row>
    <row r="64" spans="1:14" x14ac:dyDescent="0.3">
      <c r="A64" s="298">
        <v>45047</v>
      </c>
      <c r="B64" s="299">
        <f t="shared" si="63"/>
        <v>458047864.26999998</v>
      </c>
      <c r="C64" s="299">
        <f t="shared" si="70"/>
        <v>32147547.899999999</v>
      </c>
      <c r="D64" s="299">
        <f t="shared" si="71"/>
        <v>425900316.37</v>
      </c>
      <c r="E64" s="299">
        <f>'Расчет по лизингу'!E62</f>
        <v>2183739.79</v>
      </c>
      <c r="F64" s="300">
        <f t="shared" ref="F64:F76" si="73">F63</f>
        <v>20</v>
      </c>
      <c r="G64" s="301">
        <f t="shared" si="64"/>
        <v>436747.96</v>
      </c>
      <c r="H64" s="302">
        <f t="shared" si="65"/>
        <v>2620487.75</v>
      </c>
      <c r="I64" s="302">
        <v>0</v>
      </c>
      <c r="J64" s="303" t="str">
        <f t="shared" si="67"/>
        <v>-</v>
      </c>
      <c r="K64" s="302">
        <f t="shared" si="68"/>
        <v>458047864.26999998</v>
      </c>
      <c r="L64" s="302">
        <f>SUM(I65:I71,I73:I77)</f>
        <v>32147547.899999999</v>
      </c>
      <c r="M64" s="302">
        <f t="shared" si="69"/>
        <v>425900316.37</v>
      </c>
      <c r="N64" s="302">
        <v>0</v>
      </c>
    </row>
    <row r="65" spans="1:14" x14ac:dyDescent="0.3">
      <c r="A65" s="298">
        <v>45078</v>
      </c>
      <c r="B65" s="299">
        <f t="shared" si="63"/>
        <v>458047864.26999998</v>
      </c>
      <c r="C65" s="299">
        <f t="shared" si="70"/>
        <v>32147547.899999999</v>
      </c>
      <c r="D65" s="299">
        <f t="shared" si="71"/>
        <v>425900316.37</v>
      </c>
      <c r="E65" s="299">
        <f>'Расчет по лизингу'!E63</f>
        <v>2183739.79</v>
      </c>
      <c r="F65" s="300">
        <f t="shared" si="73"/>
        <v>20</v>
      </c>
      <c r="G65" s="301">
        <f t="shared" si="64"/>
        <v>436747.96</v>
      </c>
      <c r="H65" s="302">
        <f t="shared" si="65"/>
        <v>2620487.75</v>
      </c>
      <c r="I65" s="302">
        <v>0</v>
      </c>
      <c r="J65" s="303" t="str">
        <f t="shared" si="67"/>
        <v>-</v>
      </c>
      <c r="K65" s="302">
        <f t="shared" si="68"/>
        <v>458047864.26999998</v>
      </c>
      <c r="L65" s="302">
        <f>SUM(I66:I71,I73:I78)</f>
        <v>32147547.899999999</v>
      </c>
      <c r="M65" s="302">
        <f t="shared" si="69"/>
        <v>425900316.37</v>
      </c>
      <c r="N65" s="302">
        <v>0</v>
      </c>
    </row>
    <row r="66" spans="1:14" x14ac:dyDescent="0.3">
      <c r="A66" s="298">
        <v>45108</v>
      </c>
      <c r="B66" s="299">
        <f t="shared" si="63"/>
        <v>458047864.26999998</v>
      </c>
      <c r="C66" s="299">
        <f t="shared" si="70"/>
        <v>32147547.899999999</v>
      </c>
      <c r="D66" s="299">
        <f t="shared" si="71"/>
        <v>425900316.37</v>
      </c>
      <c r="E66" s="299">
        <f>'Расчет по лизингу'!E64</f>
        <v>2183739.79</v>
      </c>
      <c r="F66" s="300">
        <f t="shared" si="73"/>
        <v>20</v>
      </c>
      <c r="G66" s="301">
        <f t="shared" si="64"/>
        <v>436747.96</v>
      </c>
      <c r="H66" s="302">
        <f t="shared" si="65"/>
        <v>2620487.75</v>
      </c>
      <c r="I66" s="302">
        <f t="shared" ref="I66" si="74">SUM(H63:H65)</f>
        <v>7861463.25</v>
      </c>
      <c r="J66" s="303">
        <f t="shared" si="67"/>
        <v>45127</v>
      </c>
      <c r="K66" s="302">
        <f t="shared" si="68"/>
        <v>450186401.01999998</v>
      </c>
      <c r="L66" s="302">
        <f>SUM(I67:I71,I73:I79)</f>
        <v>32849242.800000001</v>
      </c>
      <c r="M66" s="302">
        <f t="shared" si="69"/>
        <v>417337158.22000003</v>
      </c>
      <c r="N66" s="302">
        <v>0</v>
      </c>
    </row>
    <row r="67" spans="1:14" x14ac:dyDescent="0.3">
      <c r="A67" s="298">
        <v>45139</v>
      </c>
      <c r="B67" s="299">
        <f t="shared" si="63"/>
        <v>450186401.01999998</v>
      </c>
      <c r="C67" s="299">
        <f t="shared" si="70"/>
        <v>32849242.800000001</v>
      </c>
      <c r="D67" s="299">
        <f t="shared" si="71"/>
        <v>417337158.22000003</v>
      </c>
      <c r="E67" s="299">
        <f>'Расчет по лизингу'!E65</f>
        <v>2183739.79</v>
      </c>
      <c r="F67" s="300">
        <f t="shared" si="73"/>
        <v>20</v>
      </c>
      <c r="G67" s="301">
        <f t="shared" si="64"/>
        <v>436747.96</v>
      </c>
      <c r="H67" s="302">
        <f t="shared" si="65"/>
        <v>2620487.75</v>
      </c>
      <c r="I67" s="302">
        <v>0</v>
      </c>
      <c r="J67" s="303" t="str">
        <f t="shared" si="67"/>
        <v>-</v>
      </c>
      <c r="K67" s="302">
        <f t="shared" si="68"/>
        <v>450186401.01999998</v>
      </c>
      <c r="L67" s="302">
        <f>SUM(I68:I71,I73:I80)</f>
        <v>32849242.800000001</v>
      </c>
      <c r="M67" s="302">
        <f t="shared" si="69"/>
        <v>417337158.22000003</v>
      </c>
      <c r="N67" s="302">
        <v>0</v>
      </c>
    </row>
    <row r="68" spans="1:14" x14ac:dyDescent="0.3">
      <c r="A68" s="298">
        <v>45170</v>
      </c>
      <c r="B68" s="299">
        <f t="shared" si="63"/>
        <v>450186401.01999998</v>
      </c>
      <c r="C68" s="299">
        <f t="shared" si="70"/>
        <v>32849242.800000001</v>
      </c>
      <c r="D68" s="299">
        <f t="shared" si="71"/>
        <v>417337158.22000003</v>
      </c>
      <c r="E68" s="299">
        <f>'Расчет по лизингу'!E66</f>
        <v>2183739.79</v>
      </c>
      <c r="F68" s="300">
        <f t="shared" si="73"/>
        <v>20</v>
      </c>
      <c r="G68" s="301">
        <f t="shared" si="64"/>
        <v>436747.96</v>
      </c>
      <c r="H68" s="302">
        <f t="shared" si="65"/>
        <v>2620487.75</v>
      </c>
      <c r="I68" s="302">
        <v>0</v>
      </c>
      <c r="J68" s="303" t="str">
        <f t="shared" si="67"/>
        <v>-</v>
      </c>
      <c r="K68" s="302">
        <f t="shared" si="68"/>
        <v>450186401.01999998</v>
      </c>
      <c r="L68" s="302">
        <f>SUM(I69:I71,I73:I81)</f>
        <v>32849242.800000001</v>
      </c>
      <c r="M68" s="302">
        <f t="shared" si="69"/>
        <v>417337158.22000003</v>
      </c>
      <c r="N68" s="302">
        <v>0</v>
      </c>
    </row>
    <row r="69" spans="1:14" x14ac:dyDescent="0.3">
      <c r="A69" s="298">
        <v>45200</v>
      </c>
      <c r="B69" s="299">
        <f t="shared" si="63"/>
        <v>450186401.01999998</v>
      </c>
      <c r="C69" s="299">
        <f t="shared" si="70"/>
        <v>32849242.800000001</v>
      </c>
      <c r="D69" s="299">
        <f t="shared" si="71"/>
        <v>417337158.22000003</v>
      </c>
      <c r="E69" s="299">
        <f>'Расчет по лизингу'!E67</f>
        <v>2183739.79</v>
      </c>
      <c r="F69" s="300">
        <f t="shared" si="73"/>
        <v>20</v>
      </c>
      <c r="G69" s="301">
        <f t="shared" si="64"/>
        <v>436747.96</v>
      </c>
      <c r="H69" s="302">
        <f t="shared" si="65"/>
        <v>2620487.75</v>
      </c>
      <c r="I69" s="302">
        <f t="shared" ref="I69" si="75">SUM(H66:H68)</f>
        <v>7861463.25</v>
      </c>
      <c r="J69" s="303">
        <f t="shared" si="67"/>
        <v>45219</v>
      </c>
      <c r="K69" s="302">
        <f t="shared" si="68"/>
        <v>442324937.76999998</v>
      </c>
      <c r="L69" s="302">
        <f>SUM(I70:I71,I73:I82)</f>
        <v>33550937.699999999</v>
      </c>
      <c r="M69" s="302">
        <f t="shared" si="69"/>
        <v>408774000.06999999</v>
      </c>
      <c r="N69" s="302">
        <v>0</v>
      </c>
    </row>
    <row r="70" spans="1:14" x14ac:dyDescent="0.3">
      <c r="A70" s="298">
        <v>45231</v>
      </c>
      <c r="B70" s="299">
        <f t="shared" si="63"/>
        <v>442324937.76999998</v>
      </c>
      <c r="C70" s="299">
        <f t="shared" si="70"/>
        <v>33550937.699999999</v>
      </c>
      <c r="D70" s="299">
        <f t="shared" si="71"/>
        <v>408774000.06999999</v>
      </c>
      <c r="E70" s="299">
        <f>'Расчет по лизингу'!E68</f>
        <v>2183739.79</v>
      </c>
      <c r="F70" s="300">
        <f t="shared" si="73"/>
        <v>20</v>
      </c>
      <c r="G70" s="301">
        <f t="shared" si="64"/>
        <v>436747.96</v>
      </c>
      <c r="H70" s="302">
        <f t="shared" si="65"/>
        <v>2620487.75</v>
      </c>
      <c r="I70" s="302">
        <v>0</v>
      </c>
      <c r="J70" s="303" t="str">
        <f t="shared" si="67"/>
        <v>-</v>
      </c>
      <c r="K70" s="302">
        <f t="shared" si="68"/>
        <v>442324937.76999998</v>
      </c>
      <c r="L70" s="302">
        <f>SUM(I71,I73:I83)</f>
        <v>33550937.699999999</v>
      </c>
      <c r="M70" s="302">
        <f t="shared" si="69"/>
        <v>408774000.06999999</v>
      </c>
      <c r="N70" s="302">
        <v>0</v>
      </c>
    </row>
    <row r="71" spans="1:14" ht="19.5" thickBot="1" x14ac:dyDescent="0.35">
      <c r="A71" s="285">
        <v>45261</v>
      </c>
      <c r="B71" s="286">
        <f t="shared" si="63"/>
        <v>442324937.76999998</v>
      </c>
      <c r="C71" s="286">
        <f t="shared" si="70"/>
        <v>33550937.699999999</v>
      </c>
      <c r="D71" s="286">
        <f t="shared" si="71"/>
        <v>408774000.06999999</v>
      </c>
      <c r="E71" s="286">
        <f>'Расчет по лизингу'!E69</f>
        <v>2183739.79</v>
      </c>
      <c r="F71" s="304">
        <f t="shared" si="73"/>
        <v>20</v>
      </c>
      <c r="G71" s="288">
        <f t="shared" si="64"/>
        <v>436747.96</v>
      </c>
      <c r="H71" s="289">
        <f t="shared" si="65"/>
        <v>2620487.75</v>
      </c>
      <c r="I71" s="289">
        <v>0</v>
      </c>
      <c r="J71" s="290" t="str">
        <f t="shared" si="67"/>
        <v>-</v>
      </c>
      <c r="K71" s="289">
        <f t="shared" si="68"/>
        <v>442324937.76999998</v>
      </c>
      <c r="L71" s="289">
        <f>SUM(I73:I84)</f>
        <v>33550937.699999999</v>
      </c>
      <c r="M71" s="289">
        <f t="shared" si="69"/>
        <v>408774000.06999999</v>
      </c>
      <c r="N71" s="289">
        <v>0</v>
      </c>
    </row>
    <row r="72" spans="1:14" s="306" customFormat="1" ht="19.5" thickBot="1" x14ac:dyDescent="0.35">
      <c r="A72" s="291">
        <v>2023</v>
      </c>
      <c r="B72" s="292">
        <f>B60</f>
        <v>473084350.12</v>
      </c>
      <c r="C72" s="292">
        <f t="shared" ref="C72:D72" si="76">C60</f>
        <v>30759412.350000001</v>
      </c>
      <c r="D72" s="292">
        <f t="shared" si="76"/>
        <v>442324937.76999998</v>
      </c>
      <c r="E72" s="292">
        <f t="shared" ref="E72" si="77">SUM(E60:E71)</f>
        <v>26204877.48</v>
      </c>
      <c r="F72" s="305">
        <f t="shared" si="73"/>
        <v>20</v>
      </c>
      <c r="G72" s="294">
        <f t="shared" ref="G72:I72" si="78">SUM(G60:G71)</f>
        <v>5240975.5199999996</v>
      </c>
      <c r="H72" s="295">
        <f t="shared" si="78"/>
        <v>31445853</v>
      </c>
      <c r="I72" s="295">
        <f t="shared" si="78"/>
        <v>30759412.350000001</v>
      </c>
      <c r="J72" s="296"/>
      <c r="K72" s="295">
        <f t="shared" ref="K72:N72" si="79">K71</f>
        <v>442324937.76999998</v>
      </c>
      <c r="L72" s="295">
        <f t="shared" si="79"/>
        <v>33550937.699999999</v>
      </c>
      <c r="M72" s="295">
        <f t="shared" si="79"/>
        <v>408774000.06999999</v>
      </c>
      <c r="N72" s="295">
        <f t="shared" si="79"/>
        <v>0</v>
      </c>
    </row>
    <row r="73" spans="1:14" x14ac:dyDescent="0.3">
      <c r="A73" s="279">
        <v>45292</v>
      </c>
      <c r="B73" s="280">
        <f t="shared" ref="B73:B84" si="80">K72</f>
        <v>442324937.76999998</v>
      </c>
      <c r="C73" s="280">
        <f>L71</f>
        <v>33550937.699999999</v>
      </c>
      <c r="D73" s="280">
        <f>B73-C73</f>
        <v>408774000.06999999</v>
      </c>
      <c r="E73" s="280">
        <f>'Расчет по лизингу'!E71</f>
        <v>2378655.04</v>
      </c>
      <c r="F73" s="297">
        <f t="shared" si="73"/>
        <v>20</v>
      </c>
      <c r="G73" s="282">
        <f t="shared" ref="G73:G84" si="81">E73*F73/100</f>
        <v>475731.01</v>
      </c>
      <c r="H73" s="283">
        <f t="shared" ref="H73:H84" si="82">G73+E73</f>
        <v>2854386.05</v>
      </c>
      <c r="I73" s="283">
        <f t="shared" ref="I73" si="83">SUM(H69:H71)</f>
        <v>7861463.25</v>
      </c>
      <c r="J73" s="284">
        <f t="shared" ref="J73:J84" si="84">IF(I73=0,"-",A73+19)</f>
        <v>45311</v>
      </c>
      <c r="K73" s="283">
        <f t="shared" ref="K73:K84" si="85">B73-I73</f>
        <v>434463474.51999998</v>
      </c>
      <c r="L73" s="283">
        <f>SUM(I74:I84,I86)</f>
        <v>34252632.659999996</v>
      </c>
      <c r="M73" s="283">
        <f>K73-L73</f>
        <v>400210841.86000001</v>
      </c>
      <c r="N73" s="283">
        <v>0</v>
      </c>
    </row>
    <row r="74" spans="1:14" x14ac:dyDescent="0.3">
      <c r="A74" s="298">
        <v>45323</v>
      </c>
      <c r="B74" s="299">
        <f t="shared" si="80"/>
        <v>434463474.51999998</v>
      </c>
      <c r="C74" s="299">
        <f>L73</f>
        <v>34252632.659999996</v>
      </c>
      <c r="D74" s="299">
        <f>B74-C74</f>
        <v>400210841.86000001</v>
      </c>
      <c r="E74" s="299">
        <f>'Расчет по лизингу'!E72</f>
        <v>2378655.04</v>
      </c>
      <c r="F74" s="300">
        <f t="shared" si="73"/>
        <v>20</v>
      </c>
      <c r="G74" s="301">
        <f t="shared" si="81"/>
        <v>475731.01</v>
      </c>
      <c r="H74" s="302">
        <f t="shared" si="82"/>
        <v>2854386.05</v>
      </c>
      <c r="I74" s="302">
        <v>0</v>
      </c>
      <c r="J74" s="303" t="str">
        <f t="shared" si="84"/>
        <v>-</v>
      </c>
      <c r="K74" s="302">
        <f t="shared" si="85"/>
        <v>434463474.51999998</v>
      </c>
      <c r="L74" s="302">
        <f>SUM(I75:I84,I86:I87)</f>
        <v>34252632.659999996</v>
      </c>
      <c r="M74" s="302">
        <f t="shared" ref="M74:M84" si="86">K74-L74</f>
        <v>400210841.86000001</v>
      </c>
      <c r="N74" s="302">
        <v>0</v>
      </c>
    </row>
    <row r="75" spans="1:14" x14ac:dyDescent="0.3">
      <c r="A75" s="298">
        <v>45352</v>
      </c>
      <c r="B75" s="299">
        <f t="shared" si="80"/>
        <v>434463474.51999998</v>
      </c>
      <c r="C75" s="299">
        <f t="shared" ref="C75:C84" si="87">L74</f>
        <v>34252632.659999996</v>
      </c>
      <c r="D75" s="299">
        <f t="shared" ref="D75:D84" si="88">B75-C75</f>
        <v>400210841.86000001</v>
      </c>
      <c r="E75" s="299">
        <f>'Расчет по лизингу'!E73</f>
        <v>2378655.04</v>
      </c>
      <c r="F75" s="300">
        <f t="shared" si="73"/>
        <v>20</v>
      </c>
      <c r="G75" s="301">
        <f t="shared" si="81"/>
        <v>475731.01</v>
      </c>
      <c r="H75" s="302">
        <f t="shared" si="82"/>
        <v>2854386.05</v>
      </c>
      <c r="I75" s="302">
        <v>0</v>
      </c>
      <c r="J75" s="303" t="str">
        <f t="shared" si="84"/>
        <v>-</v>
      </c>
      <c r="K75" s="302">
        <f t="shared" si="85"/>
        <v>434463474.51999998</v>
      </c>
      <c r="L75" s="302">
        <f>SUM(I76:I84,I86:I88)</f>
        <v>34252632.659999996</v>
      </c>
      <c r="M75" s="302">
        <f t="shared" si="86"/>
        <v>400210841.86000001</v>
      </c>
      <c r="N75" s="302">
        <v>0</v>
      </c>
    </row>
    <row r="76" spans="1:14" x14ac:dyDescent="0.3">
      <c r="A76" s="298">
        <v>45383</v>
      </c>
      <c r="B76" s="299">
        <f t="shared" si="80"/>
        <v>434463474.51999998</v>
      </c>
      <c r="C76" s="299">
        <f t="shared" si="87"/>
        <v>34252632.659999996</v>
      </c>
      <c r="D76" s="299">
        <f t="shared" si="88"/>
        <v>400210841.86000001</v>
      </c>
      <c r="E76" s="299">
        <f>'Расчет по лизингу'!E74</f>
        <v>2378655.04</v>
      </c>
      <c r="F76" s="300">
        <f t="shared" si="73"/>
        <v>20</v>
      </c>
      <c r="G76" s="301">
        <f t="shared" si="81"/>
        <v>475731.01</v>
      </c>
      <c r="H76" s="302">
        <f t="shared" si="82"/>
        <v>2854386.05</v>
      </c>
      <c r="I76" s="302">
        <f t="shared" ref="I76" si="89">SUM(H73:H75)</f>
        <v>8563158.1500000004</v>
      </c>
      <c r="J76" s="303">
        <f t="shared" si="84"/>
        <v>45402</v>
      </c>
      <c r="K76" s="302">
        <f t="shared" si="85"/>
        <v>425900316.37</v>
      </c>
      <c r="L76" s="302">
        <f>SUM(I77:I84,I86:I89)</f>
        <v>34977208.950000003</v>
      </c>
      <c r="M76" s="302">
        <f t="shared" si="86"/>
        <v>390923107.42000002</v>
      </c>
      <c r="N76" s="302">
        <v>0</v>
      </c>
    </row>
    <row r="77" spans="1:14" x14ac:dyDescent="0.3">
      <c r="A77" s="298">
        <v>45413</v>
      </c>
      <c r="B77" s="299">
        <f t="shared" si="80"/>
        <v>425900316.37</v>
      </c>
      <c r="C77" s="299">
        <f t="shared" si="87"/>
        <v>34977208.950000003</v>
      </c>
      <c r="D77" s="299">
        <f t="shared" si="88"/>
        <v>390923107.42000002</v>
      </c>
      <c r="E77" s="299">
        <f>'Расчет по лизингу'!E75</f>
        <v>2378655.04</v>
      </c>
      <c r="F77" s="300">
        <f t="shared" ref="F77:F89" si="90">F76</f>
        <v>20</v>
      </c>
      <c r="G77" s="301">
        <f t="shared" si="81"/>
        <v>475731.01</v>
      </c>
      <c r="H77" s="302">
        <f t="shared" si="82"/>
        <v>2854386.05</v>
      </c>
      <c r="I77" s="302">
        <v>0</v>
      </c>
      <c r="J77" s="303" t="str">
        <f t="shared" si="84"/>
        <v>-</v>
      </c>
      <c r="K77" s="302">
        <f t="shared" si="85"/>
        <v>425900316.37</v>
      </c>
      <c r="L77" s="302">
        <f>SUM(I78:I84,I86:I90)</f>
        <v>34977208.950000003</v>
      </c>
      <c r="M77" s="302">
        <f t="shared" si="86"/>
        <v>390923107.42000002</v>
      </c>
      <c r="N77" s="302">
        <v>0</v>
      </c>
    </row>
    <row r="78" spans="1:14" x14ac:dyDescent="0.3">
      <c r="A78" s="298">
        <v>45444</v>
      </c>
      <c r="B78" s="299">
        <f t="shared" si="80"/>
        <v>425900316.37</v>
      </c>
      <c r="C78" s="299">
        <f t="shared" si="87"/>
        <v>34977208.950000003</v>
      </c>
      <c r="D78" s="299">
        <f t="shared" si="88"/>
        <v>390923107.42000002</v>
      </c>
      <c r="E78" s="299">
        <f>'Расчет по лизингу'!E76</f>
        <v>2378655.04</v>
      </c>
      <c r="F78" s="300">
        <f t="shared" si="90"/>
        <v>20</v>
      </c>
      <c r="G78" s="301">
        <f t="shared" si="81"/>
        <v>475731.01</v>
      </c>
      <c r="H78" s="302">
        <f t="shared" si="82"/>
        <v>2854386.05</v>
      </c>
      <c r="I78" s="302">
        <v>0</v>
      </c>
      <c r="J78" s="303" t="str">
        <f t="shared" si="84"/>
        <v>-</v>
      </c>
      <c r="K78" s="302">
        <f t="shared" si="85"/>
        <v>425900316.37</v>
      </c>
      <c r="L78" s="302">
        <f>SUM(I79:I84,I86:I91)</f>
        <v>34977208.950000003</v>
      </c>
      <c r="M78" s="302">
        <f t="shared" si="86"/>
        <v>390923107.42000002</v>
      </c>
      <c r="N78" s="302">
        <v>0</v>
      </c>
    </row>
    <row r="79" spans="1:14" x14ac:dyDescent="0.3">
      <c r="A79" s="298">
        <v>45474</v>
      </c>
      <c r="B79" s="299">
        <f t="shared" si="80"/>
        <v>425900316.37</v>
      </c>
      <c r="C79" s="299">
        <f t="shared" si="87"/>
        <v>34977208.950000003</v>
      </c>
      <c r="D79" s="299">
        <f t="shared" si="88"/>
        <v>390923107.42000002</v>
      </c>
      <c r="E79" s="299">
        <f>'Расчет по лизингу'!E77</f>
        <v>2378655.04</v>
      </c>
      <c r="F79" s="300">
        <f t="shared" si="90"/>
        <v>20</v>
      </c>
      <c r="G79" s="301">
        <f t="shared" si="81"/>
        <v>475731.01</v>
      </c>
      <c r="H79" s="302">
        <f t="shared" si="82"/>
        <v>2854386.05</v>
      </c>
      <c r="I79" s="302">
        <f t="shared" ref="I79" si="91">SUM(H76:H78)</f>
        <v>8563158.1500000004</v>
      </c>
      <c r="J79" s="303">
        <f t="shared" si="84"/>
        <v>45493</v>
      </c>
      <c r="K79" s="302">
        <f t="shared" si="85"/>
        <v>417337158.22000003</v>
      </c>
      <c r="L79" s="302">
        <f>SUM(I80:I84,I86:I92)</f>
        <v>35701785.240000002</v>
      </c>
      <c r="M79" s="302">
        <f t="shared" si="86"/>
        <v>381635372.98000002</v>
      </c>
      <c r="N79" s="302">
        <v>0</v>
      </c>
    </row>
    <row r="80" spans="1:14" x14ac:dyDescent="0.3">
      <c r="A80" s="298">
        <v>45505</v>
      </c>
      <c r="B80" s="299">
        <f t="shared" si="80"/>
        <v>417337158.22000003</v>
      </c>
      <c r="C80" s="299">
        <f t="shared" si="87"/>
        <v>35701785.240000002</v>
      </c>
      <c r="D80" s="299">
        <f t="shared" si="88"/>
        <v>381635372.98000002</v>
      </c>
      <c r="E80" s="299">
        <f>'Расчет по лизингу'!E78</f>
        <v>2378655.04</v>
      </c>
      <c r="F80" s="300">
        <f t="shared" si="90"/>
        <v>20</v>
      </c>
      <c r="G80" s="301">
        <f t="shared" si="81"/>
        <v>475731.01</v>
      </c>
      <c r="H80" s="302">
        <f t="shared" si="82"/>
        <v>2854386.05</v>
      </c>
      <c r="I80" s="302">
        <v>0</v>
      </c>
      <c r="J80" s="303" t="str">
        <f t="shared" si="84"/>
        <v>-</v>
      </c>
      <c r="K80" s="302">
        <f t="shared" si="85"/>
        <v>417337158.22000003</v>
      </c>
      <c r="L80" s="302">
        <f>SUM(I81:I84,I86:I93)</f>
        <v>35701785.240000002</v>
      </c>
      <c r="M80" s="302">
        <f t="shared" si="86"/>
        <v>381635372.98000002</v>
      </c>
      <c r="N80" s="302">
        <v>0</v>
      </c>
    </row>
    <row r="81" spans="1:14" x14ac:dyDescent="0.3">
      <c r="A81" s="298">
        <v>45536</v>
      </c>
      <c r="B81" s="299">
        <f t="shared" si="80"/>
        <v>417337158.22000003</v>
      </c>
      <c r="C81" s="299">
        <f t="shared" si="87"/>
        <v>35701785.240000002</v>
      </c>
      <c r="D81" s="299">
        <f t="shared" si="88"/>
        <v>381635372.98000002</v>
      </c>
      <c r="E81" s="299">
        <f>'Расчет по лизингу'!E79</f>
        <v>2378655.04</v>
      </c>
      <c r="F81" s="300">
        <f t="shared" si="90"/>
        <v>20</v>
      </c>
      <c r="G81" s="301">
        <f t="shared" si="81"/>
        <v>475731.01</v>
      </c>
      <c r="H81" s="302">
        <f t="shared" si="82"/>
        <v>2854386.05</v>
      </c>
      <c r="I81" s="302">
        <v>0</v>
      </c>
      <c r="J81" s="303" t="str">
        <f t="shared" si="84"/>
        <v>-</v>
      </c>
      <c r="K81" s="302">
        <f t="shared" si="85"/>
        <v>417337158.22000003</v>
      </c>
      <c r="L81" s="302">
        <f>SUM(I82:I84,I86:I94)</f>
        <v>35701785.240000002</v>
      </c>
      <c r="M81" s="302">
        <f t="shared" si="86"/>
        <v>381635372.98000002</v>
      </c>
      <c r="N81" s="302">
        <v>0</v>
      </c>
    </row>
    <row r="82" spans="1:14" x14ac:dyDescent="0.3">
      <c r="A82" s="298">
        <v>45566</v>
      </c>
      <c r="B82" s="299">
        <f t="shared" si="80"/>
        <v>417337158.22000003</v>
      </c>
      <c r="C82" s="299">
        <f t="shared" si="87"/>
        <v>35701785.240000002</v>
      </c>
      <c r="D82" s="299">
        <f t="shared" si="88"/>
        <v>381635372.98000002</v>
      </c>
      <c r="E82" s="299">
        <f>'Расчет по лизингу'!E80</f>
        <v>2378655.04</v>
      </c>
      <c r="F82" s="300">
        <f t="shared" si="90"/>
        <v>20</v>
      </c>
      <c r="G82" s="301">
        <f t="shared" si="81"/>
        <v>475731.01</v>
      </c>
      <c r="H82" s="302">
        <f t="shared" si="82"/>
        <v>2854386.05</v>
      </c>
      <c r="I82" s="302">
        <f t="shared" ref="I82" si="92">SUM(H79:H81)</f>
        <v>8563158.1500000004</v>
      </c>
      <c r="J82" s="303">
        <f t="shared" si="84"/>
        <v>45585</v>
      </c>
      <c r="K82" s="302">
        <f t="shared" si="85"/>
        <v>408774000.06999999</v>
      </c>
      <c r="L82" s="302">
        <f>SUM(I83:I84,I86:I95)</f>
        <v>36426361.530000001</v>
      </c>
      <c r="M82" s="302">
        <f t="shared" si="86"/>
        <v>372347638.54000002</v>
      </c>
      <c r="N82" s="302">
        <v>0</v>
      </c>
    </row>
    <row r="83" spans="1:14" x14ac:dyDescent="0.3">
      <c r="A83" s="298">
        <v>45597</v>
      </c>
      <c r="B83" s="299">
        <f t="shared" si="80"/>
        <v>408774000.06999999</v>
      </c>
      <c r="C83" s="299">
        <f t="shared" si="87"/>
        <v>36426361.530000001</v>
      </c>
      <c r="D83" s="299">
        <f t="shared" si="88"/>
        <v>372347638.54000002</v>
      </c>
      <c r="E83" s="299">
        <f>'Расчет по лизингу'!E81</f>
        <v>2378655.04</v>
      </c>
      <c r="F83" s="300">
        <f t="shared" si="90"/>
        <v>20</v>
      </c>
      <c r="G83" s="301">
        <f t="shared" si="81"/>
        <v>475731.01</v>
      </c>
      <c r="H83" s="302">
        <f t="shared" si="82"/>
        <v>2854386.05</v>
      </c>
      <c r="I83" s="302">
        <v>0</v>
      </c>
      <c r="J83" s="303" t="str">
        <f t="shared" si="84"/>
        <v>-</v>
      </c>
      <c r="K83" s="302">
        <f t="shared" si="85"/>
        <v>408774000.06999999</v>
      </c>
      <c r="L83" s="302">
        <f>SUM(I84,I86:I96)</f>
        <v>36426361.530000001</v>
      </c>
      <c r="M83" s="302">
        <f t="shared" si="86"/>
        <v>372347638.54000002</v>
      </c>
      <c r="N83" s="302">
        <v>0</v>
      </c>
    </row>
    <row r="84" spans="1:14" ht="19.5" thickBot="1" x14ac:dyDescent="0.35">
      <c r="A84" s="285">
        <v>45627</v>
      </c>
      <c r="B84" s="286">
        <f t="shared" si="80"/>
        <v>408774000.06999999</v>
      </c>
      <c r="C84" s="286">
        <f t="shared" si="87"/>
        <v>36426361.530000001</v>
      </c>
      <c r="D84" s="286">
        <f t="shared" si="88"/>
        <v>372347638.54000002</v>
      </c>
      <c r="E84" s="286">
        <f>'Расчет по лизингу'!E82</f>
        <v>2378655.09</v>
      </c>
      <c r="F84" s="304">
        <f t="shared" si="90"/>
        <v>20</v>
      </c>
      <c r="G84" s="288">
        <f t="shared" si="81"/>
        <v>475731.02</v>
      </c>
      <c r="H84" s="289">
        <f t="shared" si="82"/>
        <v>2854386.11</v>
      </c>
      <c r="I84" s="289">
        <v>0</v>
      </c>
      <c r="J84" s="290" t="str">
        <f t="shared" si="84"/>
        <v>-</v>
      </c>
      <c r="K84" s="289">
        <f t="shared" si="85"/>
        <v>408774000.06999999</v>
      </c>
      <c r="L84" s="289">
        <f>SUM(I86:I97)</f>
        <v>36426361.530000001</v>
      </c>
      <c r="M84" s="289">
        <f t="shared" si="86"/>
        <v>372347638.54000002</v>
      </c>
      <c r="N84" s="289">
        <v>0</v>
      </c>
    </row>
    <row r="85" spans="1:14" s="306" customFormat="1" ht="19.5" thickBot="1" x14ac:dyDescent="0.35">
      <c r="A85" s="291">
        <v>2024</v>
      </c>
      <c r="B85" s="292">
        <f>B73</f>
        <v>442324937.76999998</v>
      </c>
      <c r="C85" s="292">
        <f t="shared" ref="C85:D85" si="93">C73</f>
        <v>33550937.699999999</v>
      </c>
      <c r="D85" s="292">
        <f t="shared" si="93"/>
        <v>408774000.06999999</v>
      </c>
      <c r="E85" s="292">
        <f t="shared" ref="E85" si="94">SUM(E73:E84)</f>
        <v>28543860.530000001</v>
      </c>
      <c r="F85" s="305">
        <f t="shared" si="90"/>
        <v>20</v>
      </c>
      <c r="G85" s="294">
        <f t="shared" ref="G85:I85" si="95">SUM(G73:G84)</f>
        <v>5708772.1299999999</v>
      </c>
      <c r="H85" s="295">
        <f t="shared" si="95"/>
        <v>34252632.659999996</v>
      </c>
      <c r="I85" s="295">
        <f t="shared" si="95"/>
        <v>33550937.699999999</v>
      </c>
      <c r="J85" s="296"/>
      <c r="K85" s="295">
        <f t="shared" ref="K85:N85" si="96">K84</f>
        <v>408774000.06999999</v>
      </c>
      <c r="L85" s="295">
        <f t="shared" si="96"/>
        <v>36426361.530000001</v>
      </c>
      <c r="M85" s="295">
        <f t="shared" si="96"/>
        <v>372347638.54000002</v>
      </c>
      <c r="N85" s="295">
        <f t="shared" si="96"/>
        <v>0</v>
      </c>
    </row>
    <row r="86" spans="1:14" x14ac:dyDescent="0.3">
      <c r="A86" s="279">
        <v>45658</v>
      </c>
      <c r="B86" s="280">
        <f t="shared" ref="B86:B97" si="97">K85</f>
        <v>408774000.06999999</v>
      </c>
      <c r="C86" s="280">
        <f>L84</f>
        <v>36426361.530000001</v>
      </c>
      <c r="D86" s="280">
        <f>B86-C86</f>
        <v>372347638.54000002</v>
      </c>
      <c r="E86" s="280">
        <f>'Расчет по лизингу'!E84</f>
        <v>2579926.23</v>
      </c>
      <c r="F86" s="297">
        <f t="shared" si="90"/>
        <v>20</v>
      </c>
      <c r="G86" s="282">
        <f t="shared" ref="G86:G97" si="98">E86*F86/100</f>
        <v>515985.25</v>
      </c>
      <c r="H86" s="283">
        <f t="shared" ref="H86:H97" si="99">G86+E86</f>
        <v>3095911.48</v>
      </c>
      <c r="I86" s="283">
        <f t="shared" ref="I86" si="100">SUM(H82:H84)</f>
        <v>8563158.2100000009</v>
      </c>
      <c r="J86" s="284">
        <f t="shared" ref="J86:J97" si="101">IF(I86=0,"-",A86+19)</f>
        <v>45677</v>
      </c>
      <c r="K86" s="283">
        <f t="shared" ref="K86:K97" si="102">B86-I86</f>
        <v>400210841.86000001</v>
      </c>
      <c r="L86" s="283">
        <f>SUM(I87:I97,I99)</f>
        <v>37150937.770000003</v>
      </c>
      <c r="M86" s="283">
        <f>K86-L86</f>
        <v>363059904.08999997</v>
      </c>
      <c r="N86" s="283">
        <v>0</v>
      </c>
    </row>
    <row r="87" spans="1:14" x14ac:dyDescent="0.3">
      <c r="A87" s="298">
        <v>45689</v>
      </c>
      <c r="B87" s="299">
        <f t="shared" si="97"/>
        <v>400210841.86000001</v>
      </c>
      <c r="C87" s="299">
        <f>L86</f>
        <v>37150937.770000003</v>
      </c>
      <c r="D87" s="299">
        <f>B87-C87</f>
        <v>363059904.08999997</v>
      </c>
      <c r="E87" s="299">
        <f>'Расчет по лизингу'!E85</f>
        <v>2579926.23</v>
      </c>
      <c r="F87" s="300">
        <f t="shared" si="90"/>
        <v>20</v>
      </c>
      <c r="G87" s="301">
        <f t="shared" si="98"/>
        <v>515985.25</v>
      </c>
      <c r="H87" s="302">
        <f t="shared" si="99"/>
        <v>3095911.48</v>
      </c>
      <c r="I87" s="302">
        <v>0</v>
      </c>
      <c r="J87" s="303" t="str">
        <f t="shared" si="101"/>
        <v>-</v>
      </c>
      <c r="K87" s="302">
        <f t="shared" si="102"/>
        <v>400210841.86000001</v>
      </c>
      <c r="L87" s="302">
        <f>SUM(I88:I97,I99:I100)</f>
        <v>37150937.770000003</v>
      </c>
      <c r="M87" s="302">
        <f t="shared" ref="M87:M97" si="103">K87-L87</f>
        <v>363059904.08999997</v>
      </c>
      <c r="N87" s="302">
        <v>0</v>
      </c>
    </row>
    <row r="88" spans="1:14" x14ac:dyDescent="0.3">
      <c r="A88" s="298">
        <v>45717</v>
      </c>
      <c r="B88" s="299">
        <f t="shared" si="97"/>
        <v>400210841.86000001</v>
      </c>
      <c r="C88" s="299">
        <f t="shared" ref="C88:C97" si="104">L87</f>
        <v>37150937.770000003</v>
      </c>
      <c r="D88" s="299">
        <f t="shared" ref="D88:D97" si="105">B88-C88</f>
        <v>363059904.08999997</v>
      </c>
      <c r="E88" s="299">
        <f>'Расчет по лизингу'!E86</f>
        <v>2579926.23</v>
      </c>
      <c r="F88" s="300">
        <f t="shared" si="90"/>
        <v>20</v>
      </c>
      <c r="G88" s="301">
        <f t="shared" si="98"/>
        <v>515985.25</v>
      </c>
      <c r="H88" s="302">
        <f t="shared" si="99"/>
        <v>3095911.48</v>
      </c>
      <c r="I88" s="302">
        <v>0</v>
      </c>
      <c r="J88" s="303" t="str">
        <f t="shared" si="101"/>
        <v>-</v>
      </c>
      <c r="K88" s="302">
        <f t="shared" si="102"/>
        <v>400210841.86000001</v>
      </c>
      <c r="L88" s="302">
        <f>SUM(I89:I97,I99:I101)</f>
        <v>37150937.770000003</v>
      </c>
      <c r="M88" s="302">
        <f t="shared" si="103"/>
        <v>363059904.08999997</v>
      </c>
      <c r="N88" s="302">
        <v>0</v>
      </c>
    </row>
    <row r="89" spans="1:14" x14ac:dyDescent="0.3">
      <c r="A89" s="298">
        <v>45748</v>
      </c>
      <c r="B89" s="299">
        <f t="shared" si="97"/>
        <v>400210841.86000001</v>
      </c>
      <c r="C89" s="299">
        <f t="shared" si="104"/>
        <v>37150937.770000003</v>
      </c>
      <c r="D89" s="299">
        <f t="shared" si="105"/>
        <v>363059904.08999997</v>
      </c>
      <c r="E89" s="299">
        <f>'Расчет по лизингу'!E87</f>
        <v>2579926.23</v>
      </c>
      <c r="F89" s="300">
        <f t="shared" si="90"/>
        <v>20</v>
      </c>
      <c r="G89" s="301">
        <f t="shared" si="98"/>
        <v>515985.25</v>
      </c>
      <c r="H89" s="302">
        <f t="shared" si="99"/>
        <v>3095911.48</v>
      </c>
      <c r="I89" s="302">
        <f t="shared" ref="I89" si="106">SUM(H86:H88)</f>
        <v>9287734.4399999995</v>
      </c>
      <c r="J89" s="303">
        <f t="shared" si="101"/>
        <v>45767</v>
      </c>
      <c r="K89" s="302">
        <f t="shared" si="102"/>
        <v>390923107.42000002</v>
      </c>
      <c r="L89" s="302">
        <f>SUM(I90:I97,I99:I102)</f>
        <v>37893310.630000003</v>
      </c>
      <c r="M89" s="302">
        <f t="shared" si="103"/>
        <v>353029796.79000002</v>
      </c>
      <c r="N89" s="302">
        <v>0</v>
      </c>
    </row>
    <row r="90" spans="1:14" x14ac:dyDescent="0.3">
      <c r="A90" s="298">
        <v>45778</v>
      </c>
      <c r="B90" s="299">
        <f t="shared" si="97"/>
        <v>390923107.42000002</v>
      </c>
      <c r="C90" s="299">
        <f t="shared" si="104"/>
        <v>37893310.630000003</v>
      </c>
      <c r="D90" s="299">
        <f t="shared" si="105"/>
        <v>353029796.79000002</v>
      </c>
      <c r="E90" s="299">
        <f>'Расчет по лизингу'!E88</f>
        <v>2579926.23</v>
      </c>
      <c r="F90" s="300">
        <f t="shared" ref="F90:F102" si="107">F89</f>
        <v>20</v>
      </c>
      <c r="G90" s="301">
        <f t="shared" si="98"/>
        <v>515985.25</v>
      </c>
      <c r="H90" s="302">
        <f t="shared" si="99"/>
        <v>3095911.48</v>
      </c>
      <c r="I90" s="302">
        <v>0</v>
      </c>
      <c r="J90" s="303" t="str">
        <f t="shared" si="101"/>
        <v>-</v>
      </c>
      <c r="K90" s="302">
        <f t="shared" si="102"/>
        <v>390923107.42000002</v>
      </c>
      <c r="L90" s="302">
        <f>SUM(I91:I97,I99:I103)</f>
        <v>37893310.630000003</v>
      </c>
      <c r="M90" s="302">
        <f t="shared" si="103"/>
        <v>353029796.79000002</v>
      </c>
      <c r="N90" s="302">
        <v>0</v>
      </c>
    </row>
    <row r="91" spans="1:14" x14ac:dyDescent="0.3">
      <c r="A91" s="298">
        <v>45809</v>
      </c>
      <c r="B91" s="299">
        <f t="shared" si="97"/>
        <v>390923107.42000002</v>
      </c>
      <c r="C91" s="299">
        <f t="shared" si="104"/>
        <v>37893310.630000003</v>
      </c>
      <c r="D91" s="299">
        <f t="shared" si="105"/>
        <v>353029796.79000002</v>
      </c>
      <c r="E91" s="299">
        <f>'Расчет по лизингу'!E89</f>
        <v>2579926.23</v>
      </c>
      <c r="F91" s="300">
        <f t="shared" si="107"/>
        <v>20</v>
      </c>
      <c r="G91" s="301">
        <f t="shared" si="98"/>
        <v>515985.25</v>
      </c>
      <c r="H91" s="302">
        <f t="shared" si="99"/>
        <v>3095911.48</v>
      </c>
      <c r="I91" s="302">
        <v>0</v>
      </c>
      <c r="J91" s="303" t="str">
        <f t="shared" si="101"/>
        <v>-</v>
      </c>
      <c r="K91" s="302">
        <f t="shared" si="102"/>
        <v>390923107.42000002</v>
      </c>
      <c r="L91" s="302">
        <f>SUM(I92:I97,I99:I104)</f>
        <v>37893310.630000003</v>
      </c>
      <c r="M91" s="302">
        <f t="shared" si="103"/>
        <v>353029796.79000002</v>
      </c>
      <c r="N91" s="302">
        <v>0</v>
      </c>
    </row>
    <row r="92" spans="1:14" x14ac:dyDescent="0.3">
      <c r="A92" s="298">
        <v>45839</v>
      </c>
      <c r="B92" s="299">
        <f t="shared" si="97"/>
        <v>390923107.42000002</v>
      </c>
      <c r="C92" s="299">
        <f t="shared" si="104"/>
        <v>37893310.630000003</v>
      </c>
      <c r="D92" s="299">
        <f t="shared" si="105"/>
        <v>353029796.79000002</v>
      </c>
      <c r="E92" s="299">
        <f>'Расчет по лизингу'!E90</f>
        <v>2579926.23</v>
      </c>
      <c r="F92" s="300">
        <f t="shared" si="107"/>
        <v>20</v>
      </c>
      <c r="G92" s="301">
        <f t="shared" si="98"/>
        <v>515985.25</v>
      </c>
      <c r="H92" s="302">
        <f t="shared" si="99"/>
        <v>3095911.48</v>
      </c>
      <c r="I92" s="302">
        <f t="shared" ref="I92" si="108">SUM(H89:H91)</f>
        <v>9287734.4399999995</v>
      </c>
      <c r="J92" s="303">
        <f t="shared" si="101"/>
        <v>45858</v>
      </c>
      <c r="K92" s="302">
        <f t="shared" si="102"/>
        <v>381635372.98000002</v>
      </c>
      <c r="L92" s="302">
        <f>SUM(I93:I97,I99:I105)</f>
        <v>38635683.490000002</v>
      </c>
      <c r="M92" s="302">
        <f t="shared" si="103"/>
        <v>342999689.49000001</v>
      </c>
      <c r="N92" s="302">
        <v>0</v>
      </c>
    </row>
    <row r="93" spans="1:14" x14ac:dyDescent="0.3">
      <c r="A93" s="298">
        <v>45870</v>
      </c>
      <c r="B93" s="299">
        <f t="shared" si="97"/>
        <v>381635372.98000002</v>
      </c>
      <c r="C93" s="299">
        <f t="shared" si="104"/>
        <v>38635683.490000002</v>
      </c>
      <c r="D93" s="299">
        <f t="shared" si="105"/>
        <v>342999689.49000001</v>
      </c>
      <c r="E93" s="299">
        <f>'Расчет по лизингу'!E91</f>
        <v>2579926.23</v>
      </c>
      <c r="F93" s="300">
        <f t="shared" si="107"/>
        <v>20</v>
      </c>
      <c r="G93" s="301">
        <f t="shared" si="98"/>
        <v>515985.25</v>
      </c>
      <c r="H93" s="302">
        <f t="shared" si="99"/>
        <v>3095911.48</v>
      </c>
      <c r="I93" s="302">
        <v>0</v>
      </c>
      <c r="J93" s="303" t="str">
        <f t="shared" si="101"/>
        <v>-</v>
      </c>
      <c r="K93" s="302">
        <f t="shared" si="102"/>
        <v>381635372.98000002</v>
      </c>
      <c r="L93" s="302">
        <f>SUM(I94:I97,I99:I106)</f>
        <v>38635683.490000002</v>
      </c>
      <c r="M93" s="302">
        <f t="shared" si="103"/>
        <v>342999689.49000001</v>
      </c>
      <c r="N93" s="302">
        <v>0</v>
      </c>
    </row>
    <row r="94" spans="1:14" x14ac:dyDescent="0.3">
      <c r="A94" s="298">
        <v>45901</v>
      </c>
      <c r="B94" s="299">
        <f t="shared" si="97"/>
        <v>381635372.98000002</v>
      </c>
      <c r="C94" s="299">
        <f t="shared" si="104"/>
        <v>38635683.490000002</v>
      </c>
      <c r="D94" s="299">
        <f t="shared" si="105"/>
        <v>342999689.49000001</v>
      </c>
      <c r="E94" s="299">
        <f>'Расчет по лизингу'!E92</f>
        <v>2579926.23</v>
      </c>
      <c r="F94" s="300">
        <f t="shared" si="107"/>
        <v>20</v>
      </c>
      <c r="G94" s="301">
        <f t="shared" si="98"/>
        <v>515985.25</v>
      </c>
      <c r="H94" s="302">
        <f t="shared" si="99"/>
        <v>3095911.48</v>
      </c>
      <c r="I94" s="302">
        <v>0</v>
      </c>
      <c r="J94" s="303" t="str">
        <f t="shared" si="101"/>
        <v>-</v>
      </c>
      <c r="K94" s="302">
        <f t="shared" si="102"/>
        <v>381635372.98000002</v>
      </c>
      <c r="L94" s="302">
        <f>SUM(I95:I97,I99:I107)</f>
        <v>38635683.490000002</v>
      </c>
      <c r="M94" s="302">
        <f t="shared" si="103"/>
        <v>342999689.49000001</v>
      </c>
      <c r="N94" s="302">
        <v>0</v>
      </c>
    </row>
    <row r="95" spans="1:14" x14ac:dyDescent="0.3">
      <c r="A95" s="298">
        <v>45931</v>
      </c>
      <c r="B95" s="299">
        <f t="shared" si="97"/>
        <v>381635372.98000002</v>
      </c>
      <c r="C95" s="299">
        <f t="shared" si="104"/>
        <v>38635683.490000002</v>
      </c>
      <c r="D95" s="299">
        <f t="shared" si="105"/>
        <v>342999689.49000001</v>
      </c>
      <c r="E95" s="299">
        <f>'Расчет по лизингу'!E93</f>
        <v>2579926.23</v>
      </c>
      <c r="F95" s="300">
        <f t="shared" si="107"/>
        <v>20</v>
      </c>
      <c r="G95" s="301">
        <f t="shared" si="98"/>
        <v>515985.25</v>
      </c>
      <c r="H95" s="302">
        <f t="shared" si="99"/>
        <v>3095911.48</v>
      </c>
      <c r="I95" s="302">
        <f t="shared" ref="I95" si="109">SUM(H92:H94)</f>
        <v>9287734.4399999995</v>
      </c>
      <c r="J95" s="303">
        <f t="shared" si="101"/>
        <v>45950</v>
      </c>
      <c r="K95" s="302">
        <f t="shared" si="102"/>
        <v>372347638.54000002</v>
      </c>
      <c r="L95" s="302">
        <f>SUM(I96:I97,I99:I108)</f>
        <v>39378056.350000001</v>
      </c>
      <c r="M95" s="302">
        <f t="shared" si="103"/>
        <v>332969582.19</v>
      </c>
      <c r="N95" s="302">
        <v>0</v>
      </c>
    </row>
    <row r="96" spans="1:14" x14ac:dyDescent="0.3">
      <c r="A96" s="298">
        <v>45962</v>
      </c>
      <c r="B96" s="299">
        <f t="shared" si="97"/>
        <v>372347638.54000002</v>
      </c>
      <c r="C96" s="299">
        <f t="shared" si="104"/>
        <v>39378056.350000001</v>
      </c>
      <c r="D96" s="299">
        <f t="shared" si="105"/>
        <v>332969582.19</v>
      </c>
      <c r="E96" s="299">
        <f>'Расчет по лизингу'!E94</f>
        <v>2579926.23</v>
      </c>
      <c r="F96" s="300">
        <f t="shared" si="107"/>
        <v>20</v>
      </c>
      <c r="G96" s="301">
        <f t="shared" si="98"/>
        <v>515985.25</v>
      </c>
      <c r="H96" s="302">
        <f t="shared" si="99"/>
        <v>3095911.48</v>
      </c>
      <c r="I96" s="302">
        <v>0</v>
      </c>
      <c r="J96" s="303" t="str">
        <f t="shared" si="101"/>
        <v>-</v>
      </c>
      <c r="K96" s="302">
        <f t="shared" si="102"/>
        <v>372347638.54000002</v>
      </c>
      <c r="L96" s="302">
        <f>SUM(I97,I99:I109)</f>
        <v>39378056.350000001</v>
      </c>
      <c r="M96" s="302">
        <f t="shared" si="103"/>
        <v>332969582.19</v>
      </c>
      <c r="N96" s="302">
        <v>0</v>
      </c>
    </row>
    <row r="97" spans="1:14" ht="19.5" thickBot="1" x14ac:dyDescent="0.35">
      <c r="A97" s="285">
        <v>45992</v>
      </c>
      <c r="B97" s="286">
        <f t="shared" si="97"/>
        <v>372347638.54000002</v>
      </c>
      <c r="C97" s="286">
        <f t="shared" si="104"/>
        <v>39378056.350000001</v>
      </c>
      <c r="D97" s="286">
        <f t="shared" si="105"/>
        <v>332969582.19</v>
      </c>
      <c r="E97" s="286">
        <f>'Расчет по лизингу'!E95</f>
        <v>2579926.2400000002</v>
      </c>
      <c r="F97" s="304">
        <f t="shared" si="107"/>
        <v>20</v>
      </c>
      <c r="G97" s="288">
        <f t="shared" si="98"/>
        <v>515985.25</v>
      </c>
      <c r="H97" s="289">
        <f t="shared" si="99"/>
        <v>3095911.49</v>
      </c>
      <c r="I97" s="289">
        <v>0</v>
      </c>
      <c r="J97" s="290" t="str">
        <f t="shared" si="101"/>
        <v>-</v>
      </c>
      <c r="K97" s="289">
        <f t="shared" si="102"/>
        <v>372347638.54000002</v>
      </c>
      <c r="L97" s="289">
        <f>SUM(I99:I110)</f>
        <v>39378056.350000001</v>
      </c>
      <c r="M97" s="289">
        <f t="shared" si="103"/>
        <v>332969582.19</v>
      </c>
      <c r="N97" s="289">
        <v>0</v>
      </c>
    </row>
    <row r="98" spans="1:14" s="306" customFormat="1" ht="19.5" thickBot="1" x14ac:dyDescent="0.35">
      <c r="A98" s="291">
        <v>2025</v>
      </c>
      <c r="B98" s="292">
        <f>B86</f>
        <v>408774000.06999999</v>
      </c>
      <c r="C98" s="292">
        <f t="shared" ref="C98:D98" si="110">C86</f>
        <v>36426361.530000001</v>
      </c>
      <c r="D98" s="292">
        <f t="shared" si="110"/>
        <v>372347638.54000002</v>
      </c>
      <c r="E98" s="292">
        <f t="shared" ref="E98" si="111">SUM(E86:E97)</f>
        <v>30959114.77</v>
      </c>
      <c r="F98" s="305">
        <f t="shared" si="107"/>
        <v>20</v>
      </c>
      <c r="G98" s="294">
        <f t="shared" ref="G98:I98" si="112">SUM(G86:G97)</f>
        <v>6191823</v>
      </c>
      <c r="H98" s="295">
        <f t="shared" si="112"/>
        <v>37150937.770000003</v>
      </c>
      <c r="I98" s="295">
        <f t="shared" si="112"/>
        <v>36426361.530000001</v>
      </c>
      <c r="J98" s="296"/>
      <c r="K98" s="295">
        <f t="shared" ref="K98:N98" si="113">K97</f>
        <v>372347638.54000002</v>
      </c>
      <c r="L98" s="295">
        <f t="shared" si="113"/>
        <v>39378056.350000001</v>
      </c>
      <c r="M98" s="295">
        <f t="shared" si="113"/>
        <v>332969582.19</v>
      </c>
      <c r="N98" s="295">
        <f t="shared" si="113"/>
        <v>0</v>
      </c>
    </row>
    <row r="99" spans="1:14" x14ac:dyDescent="0.3">
      <c r="A99" s="279">
        <v>46023</v>
      </c>
      <c r="B99" s="280">
        <f t="shared" ref="B99:B110" si="114">K98</f>
        <v>372347638.54000002</v>
      </c>
      <c r="C99" s="280">
        <f>L97</f>
        <v>39378056.350000001</v>
      </c>
      <c r="D99" s="280">
        <f>B99-C99</f>
        <v>332969582.19</v>
      </c>
      <c r="E99" s="280">
        <f>'Расчет по лизингу'!E97</f>
        <v>2786140.92</v>
      </c>
      <c r="F99" s="297">
        <f t="shared" si="107"/>
        <v>20</v>
      </c>
      <c r="G99" s="282">
        <f t="shared" ref="G99:G110" si="115">E99*F99/100</f>
        <v>557228.18000000005</v>
      </c>
      <c r="H99" s="283">
        <f t="shared" ref="H99:H110" si="116">G99+E99</f>
        <v>3343369.1</v>
      </c>
      <c r="I99" s="283">
        <f t="shared" ref="I99" si="117">SUM(H95:H97)</f>
        <v>9287734.4499999993</v>
      </c>
      <c r="J99" s="284">
        <f t="shared" ref="J99:J110" si="118">IF(I99=0,"-",A99+19)</f>
        <v>46042</v>
      </c>
      <c r="K99" s="283">
        <f t="shared" ref="K99:K110" si="119">B99-I99</f>
        <v>363059904.08999997</v>
      </c>
      <c r="L99" s="283">
        <f>SUM(I100:I110,I112)</f>
        <v>40120429.200000003</v>
      </c>
      <c r="M99" s="283">
        <f>K99-L99</f>
        <v>322939474.88999999</v>
      </c>
      <c r="N99" s="283">
        <v>0</v>
      </c>
    </row>
    <row r="100" spans="1:14" x14ac:dyDescent="0.3">
      <c r="A100" s="298">
        <v>46054</v>
      </c>
      <c r="B100" s="299">
        <f t="shared" si="114"/>
        <v>363059904.08999997</v>
      </c>
      <c r="C100" s="299">
        <f>L99</f>
        <v>40120429.200000003</v>
      </c>
      <c r="D100" s="299">
        <f>B100-C100</f>
        <v>322939474.88999999</v>
      </c>
      <c r="E100" s="299">
        <f>'Расчет по лизингу'!E98</f>
        <v>2786140.92</v>
      </c>
      <c r="F100" s="300">
        <f t="shared" si="107"/>
        <v>20</v>
      </c>
      <c r="G100" s="301">
        <f t="shared" si="115"/>
        <v>557228.18000000005</v>
      </c>
      <c r="H100" s="302">
        <f t="shared" si="116"/>
        <v>3343369.1</v>
      </c>
      <c r="I100" s="302">
        <v>0</v>
      </c>
      <c r="J100" s="303" t="str">
        <f t="shared" si="118"/>
        <v>-</v>
      </c>
      <c r="K100" s="302">
        <f t="shared" si="119"/>
        <v>363059904.08999997</v>
      </c>
      <c r="L100" s="302">
        <f>SUM(I101:I110,I112:I113)</f>
        <v>40120429.200000003</v>
      </c>
      <c r="M100" s="302">
        <f t="shared" ref="M100:M110" si="120">K100-L100</f>
        <v>322939474.88999999</v>
      </c>
      <c r="N100" s="302">
        <v>0</v>
      </c>
    </row>
    <row r="101" spans="1:14" x14ac:dyDescent="0.3">
      <c r="A101" s="298">
        <v>46082</v>
      </c>
      <c r="B101" s="299">
        <f t="shared" si="114"/>
        <v>363059904.08999997</v>
      </c>
      <c r="C101" s="299">
        <f t="shared" ref="C101:C110" si="121">L100</f>
        <v>40120429.200000003</v>
      </c>
      <c r="D101" s="299">
        <f t="shared" ref="D101:D110" si="122">B101-C101</f>
        <v>322939474.88999999</v>
      </c>
      <c r="E101" s="299">
        <f>'Расчет по лизингу'!E99</f>
        <v>2786140.92</v>
      </c>
      <c r="F101" s="300">
        <f t="shared" si="107"/>
        <v>20</v>
      </c>
      <c r="G101" s="301">
        <f t="shared" si="115"/>
        <v>557228.18000000005</v>
      </c>
      <c r="H101" s="302">
        <f t="shared" si="116"/>
        <v>3343369.1</v>
      </c>
      <c r="I101" s="302">
        <v>0</v>
      </c>
      <c r="J101" s="303" t="str">
        <f t="shared" si="118"/>
        <v>-</v>
      </c>
      <c r="K101" s="302">
        <f t="shared" si="119"/>
        <v>363059904.08999997</v>
      </c>
      <c r="L101" s="302">
        <f>SUM(I102:I110,I112:I114)</f>
        <v>40120429.200000003</v>
      </c>
      <c r="M101" s="302">
        <f t="shared" si="120"/>
        <v>322939474.88999999</v>
      </c>
      <c r="N101" s="302">
        <v>0</v>
      </c>
    </row>
    <row r="102" spans="1:14" x14ac:dyDescent="0.3">
      <c r="A102" s="298">
        <v>46113</v>
      </c>
      <c r="B102" s="299">
        <f t="shared" si="114"/>
        <v>363059904.08999997</v>
      </c>
      <c r="C102" s="299">
        <f t="shared" si="121"/>
        <v>40120429.200000003</v>
      </c>
      <c r="D102" s="299">
        <f t="shared" si="122"/>
        <v>322939474.88999999</v>
      </c>
      <c r="E102" s="299">
        <f>'Расчет по лизингу'!E100</f>
        <v>2786140.92</v>
      </c>
      <c r="F102" s="300">
        <f t="shared" si="107"/>
        <v>20</v>
      </c>
      <c r="G102" s="301">
        <f t="shared" si="115"/>
        <v>557228.18000000005</v>
      </c>
      <c r="H102" s="302">
        <f t="shared" si="116"/>
        <v>3343369.1</v>
      </c>
      <c r="I102" s="302">
        <f t="shared" ref="I102" si="123">SUM(H99:H101)</f>
        <v>10030107.300000001</v>
      </c>
      <c r="J102" s="303">
        <f t="shared" si="118"/>
        <v>46132</v>
      </c>
      <c r="K102" s="302">
        <f t="shared" si="119"/>
        <v>353029796.79000002</v>
      </c>
      <c r="L102" s="302">
        <f>SUM(I103:I110,I112:I115)</f>
        <v>40883141.100000001</v>
      </c>
      <c r="M102" s="302">
        <f t="shared" si="120"/>
        <v>312146655.69</v>
      </c>
      <c r="N102" s="302">
        <v>0</v>
      </c>
    </row>
    <row r="103" spans="1:14" x14ac:dyDescent="0.3">
      <c r="A103" s="298">
        <v>46143</v>
      </c>
      <c r="B103" s="299">
        <f t="shared" si="114"/>
        <v>353029796.79000002</v>
      </c>
      <c r="C103" s="299">
        <f t="shared" si="121"/>
        <v>40883141.100000001</v>
      </c>
      <c r="D103" s="299">
        <f t="shared" si="122"/>
        <v>312146655.69</v>
      </c>
      <c r="E103" s="299">
        <f>'Расчет по лизингу'!E101</f>
        <v>2786140.92</v>
      </c>
      <c r="F103" s="300">
        <f t="shared" ref="F103:F115" si="124">F102</f>
        <v>20</v>
      </c>
      <c r="G103" s="301">
        <f t="shared" si="115"/>
        <v>557228.18000000005</v>
      </c>
      <c r="H103" s="302">
        <f t="shared" si="116"/>
        <v>3343369.1</v>
      </c>
      <c r="I103" s="302">
        <v>0</v>
      </c>
      <c r="J103" s="303" t="str">
        <f t="shared" si="118"/>
        <v>-</v>
      </c>
      <c r="K103" s="302">
        <f t="shared" si="119"/>
        <v>353029796.79000002</v>
      </c>
      <c r="L103" s="302">
        <f>SUM(I104:I110,I112:I116)</f>
        <v>40883141.100000001</v>
      </c>
      <c r="M103" s="302">
        <f t="shared" si="120"/>
        <v>312146655.69</v>
      </c>
      <c r="N103" s="302">
        <v>0</v>
      </c>
    </row>
    <row r="104" spans="1:14" x14ac:dyDescent="0.3">
      <c r="A104" s="298">
        <v>46174</v>
      </c>
      <c r="B104" s="299">
        <f t="shared" si="114"/>
        <v>353029796.79000002</v>
      </c>
      <c r="C104" s="299">
        <f t="shared" si="121"/>
        <v>40883141.100000001</v>
      </c>
      <c r="D104" s="299">
        <f t="shared" si="122"/>
        <v>312146655.69</v>
      </c>
      <c r="E104" s="299">
        <f>'Расчет по лизингу'!E102</f>
        <v>2786140.92</v>
      </c>
      <c r="F104" s="300">
        <f t="shared" si="124"/>
        <v>20</v>
      </c>
      <c r="G104" s="301">
        <f t="shared" si="115"/>
        <v>557228.18000000005</v>
      </c>
      <c r="H104" s="302">
        <f t="shared" si="116"/>
        <v>3343369.1</v>
      </c>
      <c r="I104" s="302">
        <v>0</v>
      </c>
      <c r="J104" s="303" t="str">
        <f t="shared" si="118"/>
        <v>-</v>
      </c>
      <c r="K104" s="302">
        <f t="shared" si="119"/>
        <v>353029796.79000002</v>
      </c>
      <c r="L104" s="302">
        <f>SUM(I105:I110,I112:I117)</f>
        <v>40883141.100000001</v>
      </c>
      <c r="M104" s="302">
        <f t="shared" si="120"/>
        <v>312146655.69</v>
      </c>
      <c r="N104" s="302">
        <v>0</v>
      </c>
    </row>
    <row r="105" spans="1:14" x14ac:dyDescent="0.3">
      <c r="A105" s="298">
        <v>46204</v>
      </c>
      <c r="B105" s="299">
        <f t="shared" si="114"/>
        <v>353029796.79000002</v>
      </c>
      <c r="C105" s="299">
        <f t="shared" si="121"/>
        <v>40883141.100000001</v>
      </c>
      <c r="D105" s="299">
        <f t="shared" si="122"/>
        <v>312146655.69</v>
      </c>
      <c r="E105" s="299">
        <f>'Расчет по лизингу'!E103</f>
        <v>2786140.92</v>
      </c>
      <c r="F105" s="300">
        <f t="shared" si="124"/>
        <v>20</v>
      </c>
      <c r="G105" s="301">
        <f t="shared" si="115"/>
        <v>557228.18000000005</v>
      </c>
      <c r="H105" s="302">
        <f t="shared" si="116"/>
        <v>3343369.1</v>
      </c>
      <c r="I105" s="302">
        <f t="shared" ref="I105" si="125">SUM(H102:H104)</f>
        <v>10030107.300000001</v>
      </c>
      <c r="J105" s="303">
        <f t="shared" si="118"/>
        <v>46223</v>
      </c>
      <c r="K105" s="302">
        <f t="shared" si="119"/>
        <v>342999689.49000001</v>
      </c>
      <c r="L105" s="302">
        <f>SUM(I106:I110,I112:I118)</f>
        <v>41645853</v>
      </c>
      <c r="M105" s="302">
        <f t="shared" si="120"/>
        <v>301353836.49000001</v>
      </c>
      <c r="N105" s="302">
        <v>0</v>
      </c>
    </row>
    <row r="106" spans="1:14" x14ac:dyDescent="0.3">
      <c r="A106" s="298">
        <v>46235</v>
      </c>
      <c r="B106" s="299">
        <f t="shared" si="114"/>
        <v>342999689.49000001</v>
      </c>
      <c r="C106" s="299">
        <f t="shared" si="121"/>
        <v>41645853</v>
      </c>
      <c r="D106" s="299">
        <f t="shared" si="122"/>
        <v>301353836.49000001</v>
      </c>
      <c r="E106" s="299">
        <f>'Расчет по лизингу'!E104</f>
        <v>2786140.92</v>
      </c>
      <c r="F106" s="300">
        <f t="shared" si="124"/>
        <v>20</v>
      </c>
      <c r="G106" s="301">
        <f t="shared" si="115"/>
        <v>557228.18000000005</v>
      </c>
      <c r="H106" s="302">
        <f t="shared" si="116"/>
        <v>3343369.1</v>
      </c>
      <c r="I106" s="302">
        <v>0</v>
      </c>
      <c r="J106" s="303" t="str">
        <f t="shared" si="118"/>
        <v>-</v>
      </c>
      <c r="K106" s="302">
        <f t="shared" si="119"/>
        <v>342999689.49000001</v>
      </c>
      <c r="L106" s="302">
        <f>SUM(I107:I110,I112:I119)</f>
        <v>41645853</v>
      </c>
      <c r="M106" s="302">
        <f t="shared" si="120"/>
        <v>301353836.49000001</v>
      </c>
      <c r="N106" s="302">
        <v>0</v>
      </c>
    </row>
    <row r="107" spans="1:14" x14ac:dyDescent="0.3">
      <c r="A107" s="298">
        <v>46266</v>
      </c>
      <c r="B107" s="299">
        <f t="shared" si="114"/>
        <v>342999689.49000001</v>
      </c>
      <c r="C107" s="299">
        <f t="shared" si="121"/>
        <v>41645853</v>
      </c>
      <c r="D107" s="299">
        <f t="shared" si="122"/>
        <v>301353836.49000001</v>
      </c>
      <c r="E107" s="299">
        <f>'Расчет по лизингу'!E105</f>
        <v>2786140.92</v>
      </c>
      <c r="F107" s="300">
        <f t="shared" si="124"/>
        <v>20</v>
      </c>
      <c r="G107" s="301">
        <f t="shared" si="115"/>
        <v>557228.18000000005</v>
      </c>
      <c r="H107" s="302">
        <f t="shared" si="116"/>
        <v>3343369.1</v>
      </c>
      <c r="I107" s="302">
        <v>0</v>
      </c>
      <c r="J107" s="303" t="str">
        <f t="shared" si="118"/>
        <v>-</v>
      </c>
      <c r="K107" s="302">
        <f t="shared" si="119"/>
        <v>342999689.49000001</v>
      </c>
      <c r="L107" s="302">
        <f>SUM(I108:I110,I112:I120)</f>
        <v>41645853</v>
      </c>
      <c r="M107" s="302">
        <f t="shared" si="120"/>
        <v>301353836.49000001</v>
      </c>
      <c r="N107" s="302">
        <v>0</v>
      </c>
    </row>
    <row r="108" spans="1:14" x14ac:dyDescent="0.3">
      <c r="A108" s="298">
        <v>46296</v>
      </c>
      <c r="B108" s="299">
        <f t="shared" si="114"/>
        <v>342999689.49000001</v>
      </c>
      <c r="C108" s="299">
        <f t="shared" si="121"/>
        <v>41645853</v>
      </c>
      <c r="D108" s="299">
        <f t="shared" si="122"/>
        <v>301353836.49000001</v>
      </c>
      <c r="E108" s="299">
        <f>'Расчет по лизингу'!E106</f>
        <v>2786140.92</v>
      </c>
      <c r="F108" s="300">
        <f t="shared" si="124"/>
        <v>20</v>
      </c>
      <c r="G108" s="301">
        <f t="shared" si="115"/>
        <v>557228.18000000005</v>
      </c>
      <c r="H108" s="302">
        <f t="shared" si="116"/>
        <v>3343369.1</v>
      </c>
      <c r="I108" s="302">
        <f t="shared" ref="I108" si="126">SUM(H105:H107)</f>
        <v>10030107.300000001</v>
      </c>
      <c r="J108" s="303">
        <f t="shared" si="118"/>
        <v>46315</v>
      </c>
      <c r="K108" s="302">
        <f t="shared" si="119"/>
        <v>332969582.19</v>
      </c>
      <c r="L108" s="302">
        <f>SUM(I109:I110,I112:I121)</f>
        <v>42408564.899999999</v>
      </c>
      <c r="M108" s="302">
        <f t="shared" si="120"/>
        <v>290561017.29000002</v>
      </c>
      <c r="N108" s="302">
        <v>0</v>
      </c>
    </row>
    <row r="109" spans="1:14" x14ac:dyDescent="0.3">
      <c r="A109" s="298">
        <v>46327</v>
      </c>
      <c r="B109" s="299">
        <f t="shared" si="114"/>
        <v>332969582.19</v>
      </c>
      <c r="C109" s="299">
        <f t="shared" si="121"/>
        <v>42408564.899999999</v>
      </c>
      <c r="D109" s="299">
        <f t="shared" si="122"/>
        <v>290561017.29000002</v>
      </c>
      <c r="E109" s="299">
        <f>'Расчет по лизингу'!E107</f>
        <v>2786140.92</v>
      </c>
      <c r="F109" s="300">
        <f t="shared" si="124"/>
        <v>20</v>
      </c>
      <c r="G109" s="301">
        <f t="shared" si="115"/>
        <v>557228.18000000005</v>
      </c>
      <c r="H109" s="302">
        <f t="shared" si="116"/>
        <v>3343369.1</v>
      </c>
      <c r="I109" s="302">
        <v>0</v>
      </c>
      <c r="J109" s="303" t="str">
        <f t="shared" si="118"/>
        <v>-</v>
      </c>
      <c r="K109" s="302">
        <f t="shared" si="119"/>
        <v>332969582.19</v>
      </c>
      <c r="L109" s="302">
        <f>SUM(I110,I112:I122)</f>
        <v>42408564.899999999</v>
      </c>
      <c r="M109" s="302">
        <f t="shared" si="120"/>
        <v>290561017.29000002</v>
      </c>
      <c r="N109" s="302">
        <v>0</v>
      </c>
    </row>
    <row r="110" spans="1:14" ht="19.5" thickBot="1" x14ac:dyDescent="0.35">
      <c r="A110" s="285">
        <v>46357</v>
      </c>
      <c r="B110" s="286">
        <f t="shared" si="114"/>
        <v>332969582.19</v>
      </c>
      <c r="C110" s="286">
        <f t="shared" si="121"/>
        <v>42408564.899999999</v>
      </c>
      <c r="D110" s="286">
        <f t="shared" si="122"/>
        <v>290561017.29000002</v>
      </c>
      <c r="E110" s="286">
        <f>'Расчет по лизингу'!E108</f>
        <v>2786140.92</v>
      </c>
      <c r="F110" s="304">
        <f t="shared" si="124"/>
        <v>20</v>
      </c>
      <c r="G110" s="288">
        <f t="shared" si="115"/>
        <v>557228.18000000005</v>
      </c>
      <c r="H110" s="289">
        <f t="shared" si="116"/>
        <v>3343369.1</v>
      </c>
      <c r="I110" s="289">
        <v>0</v>
      </c>
      <c r="J110" s="290" t="str">
        <f t="shared" si="118"/>
        <v>-</v>
      </c>
      <c r="K110" s="289">
        <f t="shared" si="119"/>
        <v>332969582.19</v>
      </c>
      <c r="L110" s="289">
        <f>SUM(I112:I123)</f>
        <v>42408564.899999999</v>
      </c>
      <c r="M110" s="289">
        <f t="shared" si="120"/>
        <v>290561017.29000002</v>
      </c>
      <c r="N110" s="289">
        <v>0</v>
      </c>
    </row>
    <row r="111" spans="1:14" s="306" customFormat="1" ht="19.5" thickBot="1" x14ac:dyDescent="0.35">
      <c r="A111" s="291">
        <f>A98+1</f>
        <v>2026</v>
      </c>
      <c r="B111" s="292">
        <f>B99</f>
        <v>372347638.54000002</v>
      </c>
      <c r="C111" s="292">
        <f t="shared" ref="C111:D111" si="127">C99</f>
        <v>39378056.350000001</v>
      </c>
      <c r="D111" s="292">
        <f t="shared" si="127"/>
        <v>332969582.19</v>
      </c>
      <c r="E111" s="292">
        <f t="shared" ref="E111" si="128">SUM(E99:E110)</f>
        <v>33433691.039999999</v>
      </c>
      <c r="F111" s="305">
        <f t="shared" si="124"/>
        <v>20</v>
      </c>
      <c r="G111" s="294">
        <f t="shared" ref="G111:I111" si="129">SUM(G99:G110)</f>
        <v>6686738.1600000001</v>
      </c>
      <c r="H111" s="295">
        <f t="shared" si="129"/>
        <v>40120429.200000003</v>
      </c>
      <c r="I111" s="295">
        <f t="shared" si="129"/>
        <v>39378056.350000001</v>
      </c>
      <c r="J111" s="296"/>
      <c r="K111" s="295">
        <f t="shared" ref="K111:N111" si="130">K110</f>
        <v>332969582.19</v>
      </c>
      <c r="L111" s="295">
        <f t="shared" si="130"/>
        <v>42408564.899999999</v>
      </c>
      <c r="M111" s="295">
        <f t="shared" si="130"/>
        <v>290561017.29000002</v>
      </c>
      <c r="N111" s="295">
        <f t="shared" si="130"/>
        <v>0</v>
      </c>
    </row>
    <row r="112" spans="1:14" x14ac:dyDescent="0.3">
      <c r="A112" s="279">
        <v>46388</v>
      </c>
      <c r="B112" s="280">
        <f t="shared" ref="B112:B123" si="131">K111</f>
        <v>332969582.19</v>
      </c>
      <c r="C112" s="280">
        <f>L110</f>
        <v>42408564.899999999</v>
      </c>
      <c r="D112" s="280">
        <f>B112-C112</f>
        <v>290561017.29000002</v>
      </c>
      <c r="E112" s="280">
        <f>'Расчет по лизингу'!E110</f>
        <v>2998005.33</v>
      </c>
      <c r="F112" s="297">
        <f t="shared" si="124"/>
        <v>20</v>
      </c>
      <c r="G112" s="282">
        <f t="shared" ref="G112:G123" si="132">E112*F112/100</f>
        <v>599601.06999999995</v>
      </c>
      <c r="H112" s="283">
        <f t="shared" ref="H112:H123" si="133">G112+E112</f>
        <v>3597606.4</v>
      </c>
      <c r="I112" s="283">
        <f t="shared" ref="I112" si="134">SUM(H108:H110)</f>
        <v>10030107.300000001</v>
      </c>
      <c r="J112" s="284">
        <f t="shared" ref="J112:J123" si="135">IF(I112=0,"-",A112+19)</f>
        <v>46407</v>
      </c>
      <c r="K112" s="283">
        <f t="shared" ref="K112:K123" si="136">B112-I112</f>
        <v>322939474.88999999</v>
      </c>
      <c r="L112" s="283">
        <f>SUM(I113:I123,I125)</f>
        <v>43171276.75</v>
      </c>
      <c r="M112" s="283">
        <f>K112-L112</f>
        <v>279768198.13999999</v>
      </c>
      <c r="N112" s="283">
        <v>0</v>
      </c>
    </row>
    <row r="113" spans="1:14" x14ac:dyDescent="0.3">
      <c r="A113" s="298">
        <v>46419</v>
      </c>
      <c r="B113" s="299">
        <f t="shared" si="131"/>
        <v>322939474.88999999</v>
      </c>
      <c r="C113" s="299">
        <f>L112</f>
        <v>43171276.75</v>
      </c>
      <c r="D113" s="299">
        <f>B113-C113</f>
        <v>279768198.13999999</v>
      </c>
      <c r="E113" s="299">
        <f>'Расчет по лизингу'!E111</f>
        <v>2998005.33</v>
      </c>
      <c r="F113" s="300">
        <f t="shared" si="124"/>
        <v>20</v>
      </c>
      <c r="G113" s="301">
        <f t="shared" si="132"/>
        <v>599601.06999999995</v>
      </c>
      <c r="H113" s="302">
        <f t="shared" si="133"/>
        <v>3597606.4</v>
      </c>
      <c r="I113" s="302">
        <v>0</v>
      </c>
      <c r="J113" s="303" t="str">
        <f t="shared" si="135"/>
        <v>-</v>
      </c>
      <c r="K113" s="302">
        <f t="shared" si="136"/>
        <v>322939474.88999999</v>
      </c>
      <c r="L113" s="302">
        <f>SUM(I114:I123,I125:I126)</f>
        <v>43171276.75</v>
      </c>
      <c r="M113" s="302">
        <f t="shared" ref="M113:M123" si="137">K113-L113</f>
        <v>279768198.13999999</v>
      </c>
      <c r="N113" s="302">
        <v>0</v>
      </c>
    </row>
    <row r="114" spans="1:14" x14ac:dyDescent="0.3">
      <c r="A114" s="298">
        <v>46447</v>
      </c>
      <c r="B114" s="299">
        <f t="shared" si="131"/>
        <v>322939474.88999999</v>
      </c>
      <c r="C114" s="299">
        <f t="shared" ref="C114:C123" si="138">L113</f>
        <v>43171276.75</v>
      </c>
      <c r="D114" s="299">
        <f t="shared" ref="D114:D123" si="139">B114-C114</f>
        <v>279768198.13999999</v>
      </c>
      <c r="E114" s="299">
        <f>'Расчет по лизингу'!E112</f>
        <v>2998005.33</v>
      </c>
      <c r="F114" s="300">
        <f t="shared" si="124"/>
        <v>20</v>
      </c>
      <c r="G114" s="301">
        <f t="shared" si="132"/>
        <v>599601.06999999995</v>
      </c>
      <c r="H114" s="302">
        <f t="shared" si="133"/>
        <v>3597606.4</v>
      </c>
      <c r="I114" s="302">
        <v>0</v>
      </c>
      <c r="J114" s="303" t="str">
        <f t="shared" si="135"/>
        <v>-</v>
      </c>
      <c r="K114" s="302">
        <f t="shared" si="136"/>
        <v>322939474.88999999</v>
      </c>
      <c r="L114" s="302">
        <f>SUM(I115:I123,I125:I127)</f>
        <v>43171276.75</v>
      </c>
      <c r="M114" s="302">
        <f t="shared" si="137"/>
        <v>279768198.13999999</v>
      </c>
      <c r="N114" s="302">
        <v>0</v>
      </c>
    </row>
    <row r="115" spans="1:14" x14ac:dyDescent="0.3">
      <c r="A115" s="298">
        <v>46478</v>
      </c>
      <c r="B115" s="299">
        <f t="shared" si="131"/>
        <v>322939474.88999999</v>
      </c>
      <c r="C115" s="299">
        <f t="shared" si="138"/>
        <v>43171276.75</v>
      </c>
      <c r="D115" s="299">
        <f t="shared" si="139"/>
        <v>279768198.13999999</v>
      </c>
      <c r="E115" s="299">
        <f>'Расчет по лизингу'!E113</f>
        <v>2998005.33</v>
      </c>
      <c r="F115" s="300">
        <f t="shared" si="124"/>
        <v>20</v>
      </c>
      <c r="G115" s="301">
        <f t="shared" si="132"/>
        <v>599601.06999999995</v>
      </c>
      <c r="H115" s="302">
        <f t="shared" si="133"/>
        <v>3597606.4</v>
      </c>
      <c r="I115" s="302">
        <f t="shared" ref="I115" si="140">SUM(H112:H114)</f>
        <v>10792819.199999999</v>
      </c>
      <c r="J115" s="303">
        <f t="shared" si="135"/>
        <v>46497</v>
      </c>
      <c r="K115" s="302">
        <f t="shared" si="136"/>
        <v>312146655.69</v>
      </c>
      <c r="L115" s="302">
        <f>SUM(I116:I123,I125:I128)</f>
        <v>43951785.219999999</v>
      </c>
      <c r="M115" s="302">
        <f t="shared" si="137"/>
        <v>268194870.47</v>
      </c>
      <c r="N115" s="302">
        <v>0</v>
      </c>
    </row>
    <row r="116" spans="1:14" x14ac:dyDescent="0.3">
      <c r="A116" s="298">
        <v>46508</v>
      </c>
      <c r="B116" s="299">
        <f t="shared" si="131"/>
        <v>312146655.69</v>
      </c>
      <c r="C116" s="299">
        <f t="shared" si="138"/>
        <v>43951785.219999999</v>
      </c>
      <c r="D116" s="299">
        <f t="shared" si="139"/>
        <v>268194870.47</v>
      </c>
      <c r="E116" s="299">
        <f>'Расчет по лизингу'!E114</f>
        <v>2998005.33</v>
      </c>
      <c r="F116" s="300">
        <f t="shared" ref="F116:F128" si="141">F115</f>
        <v>20</v>
      </c>
      <c r="G116" s="301">
        <f t="shared" si="132"/>
        <v>599601.06999999995</v>
      </c>
      <c r="H116" s="302">
        <f t="shared" si="133"/>
        <v>3597606.4</v>
      </c>
      <c r="I116" s="302">
        <v>0</v>
      </c>
      <c r="J116" s="303" t="str">
        <f t="shared" si="135"/>
        <v>-</v>
      </c>
      <c r="K116" s="302">
        <f t="shared" si="136"/>
        <v>312146655.69</v>
      </c>
      <c r="L116" s="302">
        <f>SUM(I117:I123,I125:I129)</f>
        <v>43951785.219999999</v>
      </c>
      <c r="M116" s="302">
        <f t="shared" si="137"/>
        <v>268194870.47</v>
      </c>
      <c r="N116" s="302">
        <v>0</v>
      </c>
    </row>
    <row r="117" spans="1:14" x14ac:dyDescent="0.3">
      <c r="A117" s="298">
        <v>46539</v>
      </c>
      <c r="B117" s="299">
        <f t="shared" si="131"/>
        <v>312146655.69</v>
      </c>
      <c r="C117" s="299">
        <f t="shared" si="138"/>
        <v>43951785.219999999</v>
      </c>
      <c r="D117" s="299">
        <f t="shared" si="139"/>
        <v>268194870.47</v>
      </c>
      <c r="E117" s="299">
        <f>'Расчет по лизингу'!E115</f>
        <v>2998005.33</v>
      </c>
      <c r="F117" s="300">
        <f t="shared" si="141"/>
        <v>20</v>
      </c>
      <c r="G117" s="301">
        <f t="shared" si="132"/>
        <v>599601.06999999995</v>
      </c>
      <c r="H117" s="302">
        <f t="shared" si="133"/>
        <v>3597606.4</v>
      </c>
      <c r="I117" s="302">
        <v>0</v>
      </c>
      <c r="J117" s="303" t="str">
        <f t="shared" si="135"/>
        <v>-</v>
      </c>
      <c r="K117" s="302">
        <f t="shared" si="136"/>
        <v>312146655.69</v>
      </c>
      <c r="L117" s="302">
        <f>SUM(I118:I123,I125:I130)</f>
        <v>43951785.219999999</v>
      </c>
      <c r="M117" s="302">
        <f t="shared" si="137"/>
        <v>268194870.47</v>
      </c>
      <c r="N117" s="302">
        <v>0</v>
      </c>
    </row>
    <row r="118" spans="1:14" x14ac:dyDescent="0.3">
      <c r="A118" s="298">
        <v>46569</v>
      </c>
      <c r="B118" s="299">
        <f t="shared" si="131"/>
        <v>312146655.69</v>
      </c>
      <c r="C118" s="299">
        <f t="shared" si="138"/>
        <v>43951785.219999999</v>
      </c>
      <c r="D118" s="299">
        <f t="shared" si="139"/>
        <v>268194870.47</v>
      </c>
      <c r="E118" s="299">
        <f>'Расчет по лизингу'!E116</f>
        <v>2998005.33</v>
      </c>
      <c r="F118" s="300">
        <f t="shared" si="141"/>
        <v>20</v>
      </c>
      <c r="G118" s="301">
        <f t="shared" si="132"/>
        <v>599601.06999999995</v>
      </c>
      <c r="H118" s="302">
        <f t="shared" si="133"/>
        <v>3597606.4</v>
      </c>
      <c r="I118" s="302">
        <f t="shared" ref="I118" si="142">SUM(H115:H117)</f>
        <v>10792819.199999999</v>
      </c>
      <c r="J118" s="303">
        <f t="shared" si="135"/>
        <v>46588</v>
      </c>
      <c r="K118" s="302">
        <f t="shared" si="136"/>
        <v>301353836.49000001</v>
      </c>
      <c r="L118" s="302">
        <f>SUM(I119:I123,I125:I131)</f>
        <v>44732293.689999998</v>
      </c>
      <c r="M118" s="302">
        <f t="shared" si="137"/>
        <v>256621542.80000001</v>
      </c>
      <c r="N118" s="302">
        <v>0</v>
      </c>
    </row>
    <row r="119" spans="1:14" x14ac:dyDescent="0.3">
      <c r="A119" s="298">
        <v>46600</v>
      </c>
      <c r="B119" s="299">
        <f t="shared" si="131"/>
        <v>301353836.49000001</v>
      </c>
      <c r="C119" s="299">
        <f t="shared" si="138"/>
        <v>44732293.689999998</v>
      </c>
      <c r="D119" s="299">
        <f t="shared" si="139"/>
        <v>256621542.80000001</v>
      </c>
      <c r="E119" s="299">
        <f>'Расчет по лизингу'!E117</f>
        <v>2998005.33</v>
      </c>
      <c r="F119" s="300">
        <f t="shared" si="141"/>
        <v>20</v>
      </c>
      <c r="G119" s="301">
        <f t="shared" si="132"/>
        <v>599601.06999999995</v>
      </c>
      <c r="H119" s="302">
        <f t="shared" si="133"/>
        <v>3597606.4</v>
      </c>
      <c r="I119" s="302">
        <v>0</v>
      </c>
      <c r="J119" s="303" t="str">
        <f t="shared" si="135"/>
        <v>-</v>
      </c>
      <c r="K119" s="302">
        <f t="shared" si="136"/>
        <v>301353836.49000001</v>
      </c>
      <c r="L119" s="302">
        <f>SUM(I120:I123,I125:I132)</f>
        <v>44732293.689999998</v>
      </c>
      <c r="M119" s="302">
        <f t="shared" si="137"/>
        <v>256621542.80000001</v>
      </c>
      <c r="N119" s="302">
        <v>0</v>
      </c>
    </row>
    <row r="120" spans="1:14" x14ac:dyDescent="0.3">
      <c r="A120" s="298">
        <v>46631</v>
      </c>
      <c r="B120" s="299">
        <f t="shared" si="131"/>
        <v>301353836.49000001</v>
      </c>
      <c r="C120" s="299">
        <f t="shared" si="138"/>
        <v>44732293.689999998</v>
      </c>
      <c r="D120" s="299">
        <f t="shared" si="139"/>
        <v>256621542.80000001</v>
      </c>
      <c r="E120" s="299">
        <f>'Расчет по лизингу'!E118</f>
        <v>2998005.33</v>
      </c>
      <c r="F120" s="300">
        <f t="shared" si="141"/>
        <v>20</v>
      </c>
      <c r="G120" s="301">
        <f t="shared" si="132"/>
        <v>599601.06999999995</v>
      </c>
      <c r="H120" s="302">
        <f t="shared" si="133"/>
        <v>3597606.4</v>
      </c>
      <c r="I120" s="302">
        <v>0</v>
      </c>
      <c r="J120" s="303" t="str">
        <f t="shared" si="135"/>
        <v>-</v>
      </c>
      <c r="K120" s="302">
        <f t="shared" si="136"/>
        <v>301353836.49000001</v>
      </c>
      <c r="L120" s="302">
        <f>SUM(I121:I123,I125:I133)</f>
        <v>44732293.689999998</v>
      </c>
      <c r="M120" s="302">
        <f t="shared" si="137"/>
        <v>256621542.80000001</v>
      </c>
      <c r="N120" s="302">
        <v>0</v>
      </c>
    </row>
    <row r="121" spans="1:14" x14ac:dyDescent="0.3">
      <c r="A121" s="298">
        <v>46661</v>
      </c>
      <c r="B121" s="299">
        <f t="shared" si="131"/>
        <v>301353836.49000001</v>
      </c>
      <c r="C121" s="299">
        <f t="shared" si="138"/>
        <v>44732293.689999998</v>
      </c>
      <c r="D121" s="299">
        <f t="shared" si="139"/>
        <v>256621542.80000001</v>
      </c>
      <c r="E121" s="299">
        <f>'Расчет по лизингу'!E119</f>
        <v>2998005.33</v>
      </c>
      <c r="F121" s="300">
        <f t="shared" si="141"/>
        <v>20</v>
      </c>
      <c r="G121" s="301">
        <f t="shared" si="132"/>
        <v>599601.06999999995</v>
      </c>
      <c r="H121" s="302">
        <f t="shared" si="133"/>
        <v>3597606.4</v>
      </c>
      <c r="I121" s="302">
        <f t="shared" ref="I121" si="143">SUM(H118:H120)</f>
        <v>10792819.199999999</v>
      </c>
      <c r="J121" s="303">
        <f t="shared" si="135"/>
        <v>46680</v>
      </c>
      <c r="K121" s="302">
        <f t="shared" si="136"/>
        <v>290561017.29000002</v>
      </c>
      <c r="L121" s="302">
        <f>SUM(I122:I123,I125:I134)</f>
        <v>45512802.159999996</v>
      </c>
      <c r="M121" s="302">
        <f t="shared" si="137"/>
        <v>245048215.13</v>
      </c>
      <c r="N121" s="302">
        <v>0</v>
      </c>
    </row>
    <row r="122" spans="1:14" x14ac:dyDescent="0.3">
      <c r="A122" s="298">
        <v>46692</v>
      </c>
      <c r="B122" s="299">
        <f t="shared" si="131"/>
        <v>290561017.29000002</v>
      </c>
      <c r="C122" s="299">
        <f t="shared" si="138"/>
        <v>45512802.159999996</v>
      </c>
      <c r="D122" s="299">
        <f t="shared" si="139"/>
        <v>245048215.13</v>
      </c>
      <c r="E122" s="299">
        <f>'Расчет по лизингу'!E120</f>
        <v>2998005.33</v>
      </c>
      <c r="F122" s="300">
        <f t="shared" si="141"/>
        <v>20</v>
      </c>
      <c r="G122" s="301">
        <f t="shared" si="132"/>
        <v>599601.06999999995</v>
      </c>
      <c r="H122" s="302">
        <f t="shared" si="133"/>
        <v>3597606.4</v>
      </c>
      <c r="I122" s="302">
        <v>0</v>
      </c>
      <c r="J122" s="303" t="str">
        <f t="shared" si="135"/>
        <v>-</v>
      </c>
      <c r="K122" s="302">
        <f t="shared" si="136"/>
        <v>290561017.29000002</v>
      </c>
      <c r="L122" s="302">
        <f>SUM(I123,I125:I135)</f>
        <v>45512802.159999996</v>
      </c>
      <c r="M122" s="302">
        <f t="shared" si="137"/>
        <v>245048215.13</v>
      </c>
      <c r="N122" s="302">
        <v>0</v>
      </c>
    </row>
    <row r="123" spans="1:14" ht="19.5" thickBot="1" x14ac:dyDescent="0.35">
      <c r="A123" s="285">
        <v>46722</v>
      </c>
      <c r="B123" s="286">
        <f t="shared" si="131"/>
        <v>290561017.29000002</v>
      </c>
      <c r="C123" s="286">
        <f t="shared" si="138"/>
        <v>45512802.159999996</v>
      </c>
      <c r="D123" s="286">
        <f t="shared" si="139"/>
        <v>245048215.13</v>
      </c>
      <c r="E123" s="286">
        <f>'Расчет по лизингу'!E121</f>
        <v>2998005.29</v>
      </c>
      <c r="F123" s="304">
        <f t="shared" si="141"/>
        <v>20</v>
      </c>
      <c r="G123" s="288">
        <f t="shared" si="132"/>
        <v>599601.06000000006</v>
      </c>
      <c r="H123" s="289">
        <f t="shared" si="133"/>
        <v>3597606.35</v>
      </c>
      <c r="I123" s="289">
        <v>0</v>
      </c>
      <c r="J123" s="290" t="str">
        <f t="shared" si="135"/>
        <v>-</v>
      </c>
      <c r="K123" s="289">
        <f t="shared" si="136"/>
        <v>290561017.29000002</v>
      </c>
      <c r="L123" s="289">
        <f>SUM(I125:I136)</f>
        <v>45512802.159999996</v>
      </c>
      <c r="M123" s="289">
        <f t="shared" si="137"/>
        <v>245048215.13</v>
      </c>
      <c r="N123" s="289">
        <v>0</v>
      </c>
    </row>
    <row r="124" spans="1:14" s="306" customFormat="1" ht="19.5" thickBot="1" x14ac:dyDescent="0.35">
      <c r="A124" s="291">
        <f>A111+1</f>
        <v>2027</v>
      </c>
      <c r="B124" s="292">
        <f>B112</f>
        <v>332969582.19</v>
      </c>
      <c r="C124" s="292">
        <f t="shared" ref="C124:D124" si="144">C112</f>
        <v>42408564.899999999</v>
      </c>
      <c r="D124" s="292">
        <f t="shared" si="144"/>
        <v>290561017.29000002</v>
      </c>
      <c r="E124" s="292">
        <f t="shared" ref="E124" si="145">SUM(E112:E123)</f>
        <v>35976063.920000002</v>
      </c>
      <c r="F124" s="305">
        <f t="shared" si="141"/>
        <v>20</v>
      </c>
      <c r="G124" s="294">
        <f t="shared" ref="G124:I124" si="146">SUM(G112:G123)</f>
        <v>7195212.8300000001</v>
      </c>
      <c r="H124" s="295">
        <f t="shared" si="146"/>
        <v>43171276.75</v>
      </c>
      <c r="I124" s="295">
        <f t="shared" si="146"/>
        <v>42408564.899999999</v>
      </c>
      <c r="J124" s="296"/>
      <c r="K124" s="295">
        <f t="shared" ref="K124:N124" si="147">K123</f>
        <v>290561017.29000002</v>
      </c>
      <c r="L124" s="295">
        <f t="shared" si="147"/>
        <v>45512802.159999996</v>
      </c>
      <c r="M124" s="295">
        <f t="shared" si="147"/>
        <v>245048215.13</v>
      </c>
      <c r="N124" s="295">
        <f t="shared" si="147"/>
        <v>0</v>
      </c>
    </row>
    <row r="125" spans="1:14" x14ac:dyDescent="0.3">
      <c r="A125" s="279">
        <v>46753</v>
      </c>
      <c r="B125" s="280">
        <f t="shared" ref="B125:B136" si="148">K124</f>
        <v>290561017.29000002</v>
      </c>
      <c r="C125" s="280">
        <f>L123</f>
        <v>45512802.159999996</v>
      </c>
      <c r="D125" s="280">
        <f>B125-C125</f>
        <v>245048215.13</v>
      </c>
      <c r="E125" s="280">
        <f>'Расчет по лизингу'!E123</f>
        <v>3214813.24</v>
      </c>
      <c r="F125" s="297">
        <f t="shared" si="141"/>
        <v>20</v>
      </c>
      <c r="G125" s="282">
        <f t="shared" ref="G125:G136" si="149">E125*F125/100</f>
        <v>642962.65</v>
      </c>
      <c r="H125" s="283">
        <f t="shared" ref="H125:H136" si="150">G125+E125</f>
        <v>3857775.89</v>
      </c>
      <c r="I125" s="283">
        <f t="shared" ref="I125" si="151">SUM(H121:H123)</f>
        <v>10792819.15</v>
      </c>
      <c r="J125" s="284">
        <f t="shared" ref="J125:J136" si="152">IF(I125=0,"-",A125+19)</f>
        <v>46772</v>
      </c>
      <c r="K125" s="283">
        <f t="shared" ref="K125:K136" si="153">B125-I125</f>
        <v>279768198.13999999</v>
      </c>
      <c r="L125" s="283">
        <f>SUM(I126:I136,I138)</f>
        <v>46293310.630000003</v>
      </c>
      <c r="M125" s="283">
        <f>K125-L125</f>
        <v>233474887.50999999</v>
      </c>
      <c r="N125" s="283">
        <v>0</v>
      </c>
    </row>
    <row r="126" spans="1:14" x14ac:dyDescent="0.3">
      <c r="A126" s="298">
        <v>46784</v>
      </c>
      <c r="B126" s="299">
        <f t="shared" si="148"/>
        <v>279768198.13999999</v>
      </c>
      <c r="C126" s="299">
        <f>L125</f>
        <v>46293310.630000003</v>
      </c>
      <c r="D126" s="299">
        <f>B126-C126</f>
        <v>233474887.50999999</v>
      </c>
      <c r="E126" s="299">
        <f>'Расчет по лизингу'!E124</f>
        <v>3214813.24</v>
      </c>
      <c r="F126" s="300">
        <f t="shared" si="141"/>
        <v>20</v>
      </c>
      <c r="G126" s="301">
        <f t="shared" si="149"/>
        <v>642962.65</v>
      </c>
      <c r="H126" s="302">
        <f t="shared" si="150"/>
        <v>3857775.89</v>
      </c>
      <c r="I126" s="302">
        <v>0</v>
      </c>
      <c r="J126" s="303" t="str">
        <f t="shared" si="152"/>
        <v>-</v>
      </c>
      <c r="K126" s="302">
        <f t="shared" si="153"/>
        <v>279768198.13999999</v>
      </c>
      <c r="L126" s="302">
        <f>SUM(I127:I136,I138:I139)</f>
        <v>46293310.630000003</v>
      </c>
      <c r="M126" s="302">
        <f t="shared" ref="M126:M136" si="154">K126-L126</f>
        <v>233474887.50999999</v>
      </c>
      <c r="N126" s="302">
        <v>0</v>
      </c>
    </row>
    <row r="127" spans="1:14" x14ac:dyDescent="0.3">
      <c r="A127" s="298">
        <v>46813</v>
      </c>
      <c r="B127" s="299">
        <f t="shared" si="148"/>
        <v>279768198.13999999</v>
      </c>
      <c r="C127" s="299">
        <f t="shared" ref="C127:C136" si="155">L126</f>
        <v>46293310.630000003</v>
      </c>
      <c r="D127" s="299">
        <f t="shared" ref="D127:D136" si="156">B127-C127</f>
        <v>233474887.50999999</v>
      </c>
      <c r="E127" s="299">
        <f>'Расчет по лизингу'!E125</f>
        <v>3214813.24</v>
      </c>
      <c r="F127" s="300">
        <f t="shared" si="141"/>
        <v>20</v>
      </c>
      <c r="G127" s="301">
        <f t="shared" si="149"/>
        <v>642962.65</v>
      </c>
      <c r="H127" s="302">
        <f t="shared" si="150"/>
        <v>3857775.89</v>
      </c>
      <c r="I127" s="302">
        <v>0</v>
      </c>
      <c r="J127" s="303" t="str">
        <f t="shared" si="152"/>
        <v>-</v>
      </c>
      <c r="K127" s="302">
        <f t="shared" si="153"/>
        <v>279768198.13999999</v>
      </c>
      <c r="L127" s="302">
        <f>SUM(I128:I136,I138:I140)</f>
        <v>46293310.630000003</v>
      </c>
      <c r="M127" s="302">
        <f t="shared" si="154"/>
        <v>233474887.50999999</v>
      </c>
      <c r="N127" s="302">
        <v>0</v>
      </c>
    </row>
    <row r="128" spans="1:14" x14ac:dyDescent="0.3">
      <c r="A128" s="298">
        <v>46844</v>
      </c>
      <c r="B128" s="299">
        <f t="shared" si="148"/>
        <v>279768198.13999999</v>
      </c>
      <c r="C128" s="299">
        <f t="shared" si="155"/>
        <v>46293310.630000003</v>
      </c>
      <c r="D128" s="299">
        <f t="shared" si="156"/>
        <v>233474887.50999999</v>
      </c>
      <c r="E128" s="299">
        <f>'Расчет по лизингу'!E126</f>
        <v>3214813.24</v>
      </c>
      <c r="F128" s="300">
        <f t="shared" si="141"/>
        <v>20</v>
      </c>
      <c r="G128" s="301">
        <f t="shared" si="149"/>
        <v>642962.65</v>
      </c>
      <c r="H128" s="302">
        <f t="shared" si="150"/>
        <v>3857775.89</v>
      </c>
      <c r="I128" s="302">
        <f t="shared" ref="I128" si="157">SUM(H125:H127)</f>
        <v>11573327.67</v>
      </c>
      <c r="J128" s="303">
        <f t="shared" si="152"/>
        <v>46863</v>
      </c>
      <c r="K128" s="302">
        <f t="shared" si="153"/>
        <v>268194870.47</v>
      </c>
      <c r="L128" s="302">
        <f>SUM(I129:I136,I138:I141)</f>
        <v>47096700.460000001</v>
      </c>
      <c r="M128" s="302">
        <f t="shared" si="154"/>
        <v>221098170.00999999</v>
      </c>
      <c r="N128" s="302">
        <v>0</v>
      </c>
    </row>
    <row r="129" spans="1:14" x14ac:dyDescent="0.3">
      <c r="A129" s="298">
        <v>46874</v>
      </c>
      <c r="B129" s="299">
        <f t="shared" si="148"/>
        <v>268194870.47</v>
      </c>
      <c r="C129" s="299">
        <f t="shared" si="155"/>
        <v>47096700.460000001</v>
      </c>
      <c r="D129" s="299">
        <f t="shared" si="156"/>
        <v>221098170.00999999</v>
      </c>
      <c r="E129" s="299">
        <f>'Расчет по лизингу'!E127</f>
        <v>3214813.24</v>
      </c>
      <c r="F129" s="300">
        <f t="shared" ref="F129:F141" si="158">F128</f>
        <v>20</v>
      </c>
      <c r="G129" s="301">
        <f t="shared" si="149"/>
        <v>642962.65</v>
      </c>
      <c r="H129" s="302">
        <f t="shared" si="150"/>
        <v>3857775.89</v>
      </c>
      <c r="I129" s="302">
        <v>0</v>
      </c>
      <c r="J129" s="303" t="str">
        <f t="shared" si="152"/>
        <v>-</v>
      </c>
      <c r="K129" s="302">
        <f t="shared" si="153"/>
        <v>268194870.47</v>
      </c>
      <c r="L129" s="302">
        <f>SUM(I130:I136,I138:I142)</f>
        <v>47096700.460000001</v>
      </c>
      <c r="M129" s="302">
        <f t="shared" si="154"/>
        <v>221098170.00999999</v>
      </c>
      <c r="N129" s="302">
        <v>0</v>
      </c>
    </row>
    <row r="130" spans="1:14" x14ac:dyDescent="0.3">
      <c r="A130" s="298">
        <v>46905</v>
      </c>
      <c r="B130" s="299">
        <f t="shared" si="148"/>
        <v>268194870.47</v>
      </c>
      <c r="C130" s="299">
        <f t="shared" si="155"/>
        <v>47096700.460000001</v>
      </c>
      <c r="D130" s="299">
        <f t="shared" si="156"/>
        <v>221098170.00999999</v>
      </c>
      <c r="E130" s="299">
        <f>'Расчет по лизингу'!E128</f>
        <v>3214813.24</v>
      </c>
      <c r="F130" s="300">
        <f t="shared" si="158"/>
        <v>20</v>
      </c>
      <c r="G130" s="301">
        <f t="shared" si="149"/>
        <v>642962.65</v>
      </c>
      <c r="H130" s="302">
        <f t="shared" si="150"/>
        <v>3857775.89</v>
      </c>
      <c r="I130" s="302">
        <v>0</v>
      </c>
      <c r="J130" s="303" t="str">
        <f t="shared" si="152"/>
        <v>-</v>
      </c>
      <c r="K130" s="302">
        <f t="shared" si="153"/>
        <v>268194870.47</v>
      </c>
      <c r="L130" s="302">
        <f>SUM(I131:I136,I138:I143)</f>
        <v>47096700.460000001</v>
      </c>
      <c r="M130" s="302">
        <f t="shared" si="154"/>
        <v>221098170.00999999</v>
      </c>
      <c r="N130" s="302">
        <v>0</v>
      </c>
    </row>
    <row r="131" spans="1:14" x14ac:dyDescent="0.3">
      <c r="A131" s="298">
        <v>46935</v>
      </c>
      <c r="B131" s="299">
        <f t="shared" si="148"/>
        <v>268194870.47</v>
      </c>
      <c r="C131" s="299">
        <f t="shared" si="155"/>
        <v>47096700.460000001</v>
      </c>
      <c r="D131" s="299">
        <f t="shared" si="156"/>
        <v>221098170.00999999</v>
      </c>
      <c r="E131" s="299">
        <f>'Расчет по лизингу'!E129</f>
        <v>3214813.24</v>
      </c>
      <c r="F131" s="300">
        <f t="shared" si="158"/>
        <v>20</v>
      </c>
      <c r="G131" s="301">
        <f t="shared" si="149"/>
        <v>642962.65</v>
      </c>
      <c r="H131" s="302">
        <f t="shared" si="150"/>
        <v>3857775.89</v>
      </c>
      <c r="I131" s="302">
        <f t="shared" ref="I131" si="159">SUM(H128:H130)</f>
        <v>11573327.67</v>
      </c>
      <c r="J131" s="303">
        <f t="shared" si="152"/>
        <v>46954</v>
      </c>
      <c r="K131" s="302">
        <f t="shared" si="153"/>
        <v>256621542.80000001</v>
      </c>
      <c r="L131" s="302">
        <f>SUM(I132:I136,I138:I144)</f>
        <v>47900090.289999999</v>
      </c>
      <c r="M131" s="302">
        <f t="shared" si="154"/>
        <v>208721452.50999999</v>
      </c>
      <c r="N131" s="302">
        <v>0</v>
      </c>
    </row>
    <row r="132" spans="1:14" x14ac:dyDescent="0.3">
      <c r="A132" s="298">
        <v>46966</v>
      </c>
      <c r="B132" s="299">
        <f t="shared" si="148"/>
        <v>256621542.80000001</v>
      </c>
      <c r="C132" s="299">
        <f t="shared" si="155"/>
        <v>47900090.289999999</v>
      </c>
      <c r="D132" s="299">
        <f t="shared" si="156"/>
        <v>208721452.50999999</v>
      </c>
      <c r="E132" s="299">
        <f>'Расчет по лизингу'!E130</f>
        <v>3214813.24</v>
      </c>
      <c r="F132" s="300">
        <f t="shared" si="158"/>
        <v>20</v>
      </c>
      <c r="G132" s="301">
        <f t="shared" si="149"/>
        <v>642962.65</v>
      </c>
      <c r="H132" s="302">
        <f t="shared" si="150"/>
        <v>3857775.89</v>
      </c>
      <c r="I132" s="302">
        <v>0</v>
      </c>
      <c r="J132" s="303" t="str">
        <f t="shared" si="152"/>
        <v>-</v>
      </c>
      <c r="K132" s="302">
        <f t="shared" si="153"/>
        <v>256621542.80000001</v>
      </c>
      <c r="L132" s="302">
        <f>SUM(I133:I136,I138:I145)</f>
        <v>47900090.289999999</v>
      </c>
      <c r="M132" s="302">
        <f t="shared" si="154"/>
        <v>208721452.50999999</v>
      </c>
      <c r="N132" s="302">
        <v>0</v>
      </c>
    </row>
    <row r="133" spans="1:14" x14ac:dyDescent="0.3">
      <c r="A133" s="298">
        <v>46997</v>
      </c>
      <c r="B133" s="299">
        <f t="shared" si="148"/>
        <v>256621542.80000001</v>
      </c>
      <c r="C133" s="299">
        <f t="shared" si="155"/>
        <v>47900090.289999999</v>
      </c>
      <c r="D133" s="299">
        <f t="shared" si="156"/>
        <v>208721452.50999999</v>
      </c>
      <c r="E133" s="299">
        <f>'Расчет по лизингу'!E131</f>
        <v>3214813.24</v>
      </c>
      <c r="F133" s="300">
        <f t="shared" si="158"/>
        <v>20</v>
      </c>
      <c r="G133" s="301">
        <f t="shared" si="149"/>
        <v>642962.65</v>
      </c>
      <c r="H133" s="302">
        <f t="shared" si="150"/>
        <v>3857775.89</v>
      </c>
      <c r="I133" s="302">
        <v>0</v>
      </c>
      <c r="J133" s="303" t="str">
        <f t="shared" si="152"/>
        <v>-</v>
      </c>
      <c r="K133" s="302">
        <f t="shared" si="153"/>
        <v>256621542.80000001</v>
      </c>
      <c r="L133" s="302">
        <f>SUM(I134:I136,I138:I146)</f>
        <v>47900090.289999999</v>
      </c>
      <c r="M133" s="302">
        <f t="shared" si="154"/>
        <v>208721452.50999999</v>
      </c>
      <c r="N133" s="302">
        <v>0</v>
      </c>
    </row>
    <row r="134" spans="1:14" x14ac:dyDescent="0.3">
      <c r="A134" s="298">
        <v>47027</v>
      </c>
      <c r="B134" s="299">
        <f t="shared" si="148"/>
        <v>256621542.80000001</v>
      </c>
      <c r="C134" s="299">
        <f t="shared" si="155"/>
        <v>47900090.289999999</v>
      </c>
      <c r="D134" s="299">
        <f t="shared" si="156"/>
        <v>208721452.50999999</v>
      </c>
      <c r="E134" s="299">
        <f>'Расчет по лизингу'!E132</f>
        <v>3214813.24</v>
      </c>
      <c r="F134" s="300">
        <f t="shared" si="158"/>
        <v>20</v>
      </c>
      <c r="G134" s="301">
        <f t="shared" si="149"/>
        <v>642962.65</v>
      </c>
      <c r="H134" s="302">
        <f t="shared" si="150"/>
        <v>3857775.89</v>
      </c>
      <c r="I134" s="302">
        <f t="shared" ref="I134" si="160">SUM(H131:H133)</f>
        <v>11573327.67</v>
      </c>
      <c r="J134" s="303">
        <f t="shared" si="152"/>
        <v>47046</v>
      </c>
      <c r="K134" s="302">
        <f t="shared" si="153"/>
        <v>245048215.13</v>
      </c>
      <c r="L134" s="302">
        <f>SUM(I135:I136,I138:I147)</f>
        <v>48703480.119999997</v>
      </c>
      <c r="M134" s="302">
        <f t="shared" si="154"/>
        <v>196344735.00999999</v>
      </c>
      <c r="N134" s="302">
        <v>0</v>
      </c>
    </row>
    <row r="135" spans="1:14" x14ac:dyDescent="0.3">
      <c r="A135" s="298">
        <v>47058</v>
      </c>
      <c r="B135" s="299">
        <f t="shared" si="148"/>
        <v>245048215.13</v>
      </c>
      <c r="C135" s="299">
        <f t="shared" si="155"/>
        <v>48703480.119999997</v>
      </c>
      <c r="D135" s="299">
        <f t="shared" si="156"/>
        <v>196344735.00999999</v>
      </c>
      <c r="E135" s="299">
        <f>'Расчет по лизингу'!E133</f>
        <v>3214813.24</v>
      </c>
      <c r="F135" s="300">
        <f t="shared" si="158"/>
        <v>20</v>
      </c>
      <c r="G135" s="301">
        <f t="shared" si="149"/>
        <v>642962.65</v>
      </c>
      <c r="H135" s="302">
        <f t="shared" si="150"/>
        <v>3857775.89</v>
      </c>
      <c r="I135" s="302">
        <v>0</v>
      </c>
      <c r="J135" s="303" t="str">
        <f t="shared" si="152"/>
        <v>-</v>
      </c>
      <c r="K135" s="302">
        <f t="shared" si="153"/>
        <v>245048215.13</v>
      </c>
      <c r="L135" s="302">
        <f>SUM(I136,I138:I148)</f>
        <v>48703480.119999997</v>
      </c>
      <c r="M135" s="302">
        <f t="shared" si="154"/>
        <v>196344735.00999999</v>
      </c>
      <c r="N135" s="302">
        <v>0</v>
      </c>
    </row>
    <row r="136" spans="1:14" ht="19.5" thickBot="1" x14ac:dyDescent="0.35">
      <c r="A136" s="285">
        <v>47088</v>
      </c>
      <c r="B136" s="286">
        <f t="shared" si="148"/>
        <v>245048215.13</v>
      </c>
      <c r="C136" s="286">
        <f t="shared" si="155"/>
        <v>48703480.119999997</v>
      </c>
      <c r="D136" s="286">
        <f t="shared" si="156"/>
        <v>196344735.00999999</v>
      </c>
      <c r="E136" s="286">
        <f>'Расчет по лизингу'!E134</f>
        <v>3214813.2</v>
      </c>
      <c r="F136" s="304">
        <f t="shared" si="158"/>
        <v>20</v>
      </c>
      <c r="G136" s="288">
        <f t="shared" si="149"/>
        <v>642962.64</v>
      </c>
      <c r="H136" s="289">
        <f t="shared" si="150"/>
        <v>3857775.84</v>
      </c>
      <c r="I136" s="289">
        <v>0</v>
      </c>
      <c r="J136" s="290" t="str">
        <f t="shared" si="152"/>
        <v>-</v>
      </c>
      <c r="K136" s="289">
        <f t="shared" si="153"/>
        <v>245048215.13</v>
      </c>
      <c r="L136" s="289">
        <f>SUM(I138:I149)</f>
        <v>48703480.119999997</v>
      </c>
      <c r="M136" s="289">
        <f t="shared" si="154"/>
        <v>196344735.00999999</v>
      </c>
      <c r="N136" s="289">
        <v>0</v>
      </c>
    </row>
    <row r="137" spans="1:14" s="306" customFormat="1" ht="19.5" thickBot="1" x14ac:dyDescent="0.35">
      <c r="A137" s="291">
        <f>A124+1</f>
        <v>2028</v>
      </c>
      <c r="B137" s="292">
        <f>B125</f>
        <v>290561017.29000002</v>
      </c>
      <c r="C137" s="292">
        <f t="shared" ref="C137:D137" si="161">C125</f>
        <v>45512802.159999996</v>
      </c>
      <c r="D137" s="292">
        <f t="shared" si="161"/>
        <v>245048215.13</v>
      </c>
      <c r="E137" s="292">
        <f t="shared" ref="E137" si="162">SUM(E125:E136)</f>
        <v>38577758.840000004</v>
      </c>
      <c r="F137" s="305">
        <f t="shared" si="158"/>
        <v>20</v>
      </c>
      <c r="G137" s="294">
        <f t="shared" ref="G137:I137" si="163">SUM(G125:G136)</f>
        <v>7715551.79</v>
      </c>
      <c r="H137" s="295">
        <f t="shared" si="163"/>
        <v>46293310.630000003</v>
      </c>
      <c r="I137" s="295">
        <f t="shared" si="163"/>
        <v>45512802.159999996</v>
      </c>
      <c r="J137" s="296"/>
      <c r="K137" s="295">
        <f t="shared" ref="K137:N137" si="164">K136</f>
        <v>245048215.13</v>
      </c>
      <c r="L137" s="295">
        <f t="shared" si="164"/>
        <v>48703480.119999997</v>
      </c>
      <c r="M137" s="295">
        <f t="shared" si="164"/>
        <v>196344735.00999999</v>
      </c>
      <c r="N137" s="295">
        <f t="shared" si="164"/>
        <v>0</v>
      </c>
    </row>
    <row r="138" spans="1:14" x14ac:dyDescent="0.3">
      <c r="A138" s="279">
        <v>47119</v>
      </c>
      <c r="B138" s="280">
        <f t="shared" ref="B138:B149" si="165">K137</f>
        <v>245048215.13</v>
      </c>
      <c r="C138" s="280">
        <f>L136</f>
        <v>48703480.119999997</v>
      </c>
      <c r="D138" s="280">
        <f>B138-C138</f>
        <v>196344735.00999999</v>
      </c>
      <c r="E138" s="280">
        <f>'Расчет по лизингу'!E136</f>
        <v>3437977.08</v>
      </c>
      <c r="F138" s="297">
        <f t="shared" si="158"/>
        <v>20</v>
      </c>
      <c r="G138" s="282">
        <f t="shared" ref="G138:G149" si="166">E138*F138/100</f>
        <v>687595.42</v>
      </c>
      <c r="H138" s="283">
        <f t="shared" ref="H138:H149" si="167">G138+E138</f>
        <v>4125572.5</v>
      </c>
      <c r="I138" s="283">
        <f t="shared" ref="I138" si="168">SUM(H134:H136)</f>
        <v>11573327.619999999</v>
      </c>
      <c r="J138" s="284">
        <f t="shared" ref="J138:J149" si="169">IF(I138=0,"-",A138+19)</f>
        <v>47138</v>
      </c>
      <c r="K138" s="283">
        <f t="shared" ref="K138:K149" si="170">B138-I138</f>
        <v>233474887.50999999</v>
      </c>
      <c r="L138" s="283">
        <f>SUM(I139:I149,I151)</f>
        <v>49506869.969999999</v>
      </c>
      <c r="M138" s="283">
        <f>K138-L138</f>
        <v>183968017.53999999</v>
      </c>
      <c r="N138" s="283">
        <v>0</v>
      </c>
    </row>
    <row r="139" spans="1:14" x14ac:dyDescent="0.3">
      <c r="A139" s="298">
        <v>47150</v>
      </c>
      <c r="B139" s="299">
        <f t="shared" si="165"/>
        <v>233474887.50999999</v>
      </c>
      <c r="C139" s="299">
        <f>L138</f>
        <v>49506869.969999999</v>
      </c>
      <c r="D139" s="299">
        <f>B139-C139</f>
        <v>183968017.53999999</v>
      </c>
      <c r="E139" s="299">
        <f>'Расчет по лизингу'!E137</f>
        <v>3437977.08</v>
      </c>
      <c r="F139" s="300">
        <f t="shared" si="158"/>
        <v>20</v>
      </c>
      <c r="G139" s="301">
        <f t="shared" si="166"/>
        <v>687595.42</v>
      </c>
      <c r="H139" s="302">
        <f t="shared" si="167"/>
        <v>4125572.5</v>
      </c>
      <c r="I139" s="302">
        <v>0</v>
      </c>
      <c r="J139" s="303" t="str">
        <f t="shared" si="169"/>
        <v>-</v>
      </c>
      <c r="K139" s="302">
        <f t="shared" si="170"/>
        <v>233474887.50999999</v>
      </c>
      <c r="L139" s="302">
        <f>SUM(I140:I149,I151:I152)</f>
        <v>49506869.969999999</v>
      </c>
      <c r="M139" s="302">
        <f t="shared" ref="M139:M149" si="171">K139-L139</f>
        <v>183968017.53999999</v>
      </c>
      <c r="N139" s="302">
        <v>0</v>
      </c>
    </row>
    <row r="140" spans="1:14" x14ac:dyDescent="0.3">
      <c r="A140" s="298">
        <v>47178</v>
      </c>
      <c r="B140" s="299">
        <f t="shared" si="165"/>
        <v>233474887.50999999</v>
      </c>
      <c r="C140" s="299">
        <f t="shared" ref="C140:C149" si="172">L139</f>
        <v>49506869.969999999</v>
      </c>
      <c r="D140" s="299">
        <f t="shared" ref="D140:D149" si="173">B140-C140</f>
        <v>183968017.53999999</v>
      </c>
      <c r="E140" s="299">
        <f>'Расчет по лизингу'!E138</f>
        <v>3437977.08</v>
      </c>
      <c r="F140" s="300">
        <f t="shared" si="158"/>
        <v>20</v>
      </c>
      <c r="G140" s="301">
        <f t="shared" si="166"/>
        <v>687595.42</v>
      </c>
      <c r="H140" s="302">
        <f t="shared" si="167"/>
        <v>4125572.5</v>
      </c>
      <c r="I140" s="302">
        <v>0</v>
      </c>
      <c r="J140" s="303" t="str">
        <f t="shared" si="169"/>
        <v>-</v>
      </c>
      <c r="K140" s="302">
        <f t="shared" si="170"/>
        <v>233474887.50999999</v>
      </c>
      <c r="L140" s="302">
        <f>SUM(I141:I149,I151:I153)</f>
        <v>49506869.969999999</v>
      </c>
      <c r="M140" s="302">
        <f t="shared" si="171"/>
        <v>183968017.53999999</v>
      </c>
      <c r="N140" s="302">
        <v>0</v>
      </c>
    </row>
    <row r="141" spans="1:14" x14ac:dyDescent="0.3">
      <c r="A141" s="298">
        <v>47209</v>
      </c>
      <c r="B141" s="299">
        <f t="shared" si="165"/>
        <v>233474887.50999999</v>
      </c>
      <c r="C141" s="299">
        <f t="shared" si="172"/>
        <v>49506869.969999999</v>
      </c>
      <c r="D141" s="299">
        <f t="shared" si="173"/>
        <v>183968017.53999999</v>
      </c>
      <c r="E141" s="299">
        <f>'Расчет по лизингу'!E139</f>
        <v>3437977.08</v>
      </c>
      <c r="F141" s="300">
        <f t="shared" si="158"/>
        <v>20</v>
      </c>
      <c r="G141" s="301">
        <f t="shared" si="166"/>
        <v>687595.42</v>
      </c>
      <c r="H141" s="302">
        <f t="shared" si="167"/>
        <v>4125572.5</v>
      </c>
      <c r="I141" s="302">
        <f t="shared" ref="I141" si="174">SUM(H138:H140)</f>
        <v>12376717.5</v>
      </c>
      <c r="J141" s="303">
        <f t="shared" si="169"/>
        <v>47228</v>
      </c>
      <c r="K141" s="302">
        <f t="shared" si="170"/>
        <v>221098170.00999999</v>
      </c>
      <c r="L141" s="302">
        <f>SUM(I142:I149,I151:I154)</f>
        <v>50333141.130000003</v>
      </c>
      <c r="M141" s="302">
        <f t="shared" si="171"/>
        <v>170765028.88</v>
      </c>
      <c r="N141" s="302">
        <v>0</v>
      </c>
    </row>
    <row r="142" spans="1:14" x14ac:dyDescent="0.3">
      <c r="A142" s="298">
        <v>47239</v>
      </c>
      <c r="B142" s="299">
        <f t="shared" si="165"/>
        <v>221098170.00999999</v>
      </c>
      <c r="C142" s="299">
        <f t="shared" si="172"/>
        <v>50333141.130000003</v>
      </c>
      <c r="D142" s="299">
        <f t="shared" si="173"/>
        <v>170765028.88</v>
      </c>
      <c r="E142" s="299">
        <f>'Расчет по лизингу'!E140</f>
        <v>3437977.08</v>
      </c>
      <c r="F142" s="300">
        <f t="shared" ref="F142:F154" si="175">F141</f>
        <v>20</v>
      </c>
      <c r="G142" s="301">
        <f t="shared" si="166"/>
        <v>687595.42</v>
      </c>
      <c r="H142" s="302">
        <f t="shared" si="167"/>
        <v>4125572.5</v>
      </c>
      <c r="I142" s="302">
        <v>0</v>
      </c>
      <c r="J142" s="303" t="str">
        <f t="shared" si="169"/>
        <v>-</v>
      </c>
      <c r="K142" s="302">
        <f t="shared" si="170"/>
        <v>221098170.00999999</v>
      </c>
      <c r="L142" s="302">
        <f>SUM(I143:I149,I151:I155)</f>
        <v>50333141.130000003</v>
      </c>
      <c r="M142" s="302">
        <f t="shared" si="171"/>
        <v>170765028.88</v>
      </c>
      <c r="N142" s="302">
        <v>0</v>
      </c>
    </row>
    <row r="143" spans="1:14" x14ac:dyDescent="0.3">
      <c r="A143" s="298">
        <v>47270</v>
      </c>
      <c r="B143" s="299">
        <f t="shared" si="165"/>
        <v>221098170.00999999</v>
      </c>
      <c r="C143" s="299">
        <f t="shared" si="172"/>
        <v>50333141.130000003</v>
      </c>
      <c r="D143" s="299">
        <f t="shared" si="173"/>
        <v>170765028.88</v>
      </c>
      <c r="E143" s="299">
        <f>'Расчет по лизингу'!E141</f>
        <v>3437977.08</v>
      </c>
      <c r="F143" s="300">
        <f t="shared" si="175"/>
        <v>20</v>
      </c>
      <c r="G143" s="301">
        <f t="shared" si="166"/>
        <v>687595.42</v>
      </c>
      <c r="H143" s="302">
        <f t="shared" si="167"/>
        <v>4125572.5</v>
      </c>
      <c r="I143" s="302">
        <v>0</v>
      </c>
      <c r="J143" s="303" t="str">
        <f t="shared" si="169"/>
        <v>-</v>
      </c>
      <c r="K143" s="302">
        <f t="shared" si="170"/>
        <v>221098170.00999999</v>
      </c>
      <c r="L143" s="302">
        <f>SUM(I144:I149,I151:I156)</f>
        <v>50333141.130000003</v>
      </c>
      <c r="M143" s="302">
        <f t="shared" si="171"/>
        <v>170765028.88</v>
      </c>
      <c r="N143" s="302">
        <v>0</v>
      </c>
    </row>
    <row r="144" spans="1:14" x14ac:dyDescent="0.3">
      <c r="A144" s="298">
        <v>47300</v>
      </c>
      <c r="B144" s="299">
        <f t="shared" si="165"/>
        <v>221098170.00999999</v>
      </c>
      <c r="C144" s="299">
        <f t="shared" si="172"/>
        <v>50333141.130000003</v>
      </c>
      <c r="D144" s="299">
        <f t="shared" si="173"/>
        <v>170765028.88</v>
      </c>
      <c r="E144" s="299">
        <f>'Расчет по лизингу'!E142</f>
        <v>3437977.08</v>
      </c>
      <c r="F144" s="300">
        <f t="shared" si="175"/>
        <v>20</v>
      </c>
      <c r="G144" s="301">
        <f t="shared" si="166"/>
        <v>687595.42</v>
      </c>
      <c r="H144" s="302">
        <f t="shared" si="167"/>
        <v>4125572.5</v>
      </c>
      <c r="I144" s="302">
        <f t="shared" ref="I144" si="176">SUM(H141:H143)</f>
        <v>12376717.5</v>
      </c>
      <c r="J144" s="303">
        <f t="shared" si="169"/>
        <v>47319</v>
      </c>
      <c r="K144" s="302">
        <f t="shared" si="170"/>
        <v>208721452.50999999</v>
      </c>
      <c r="L144" s="302">
        <f>SUM(I145:I149,I151:I157)</f>
        <v>51159412.289999999</v>
      </c>
      <c r="M144" s="302">
        <f t="shared" si="171"/>
        <v>157562040.22</v>
      </c>
      <c r="N144" s="302">
        <v>0</v>
      </c>
    </row>
    <row r="145" spans="1:14" x14ac:dyDescent="0.3">
      <c r="A145" s="298">
        <v>47331</v>
      </c>
      <c r="B145" s="299">
        <f t="shared" si="165"/>
        <v>208721452.50999999</v>
      </c>
      <c r="C145" s="299">
        <f t="shared" si="172"/>
        <v>51159412.289999999</v>
      </c>
      <c r="D145" s="299">
        <f t="shared" si="173"/>
        <v>157562040.22</v>
      </c>
      <c r="E145" s="299">
        <f>'Расчет по лизингу'!E143</f>
        <v>3437977.08</v>
      </c>
      <c r="F145" s="300">
        <f t="shared" si="175"/>
        <v>20</v>
      </c>
      <c r="G145" s="301">
        <f t="shared" si="166"/>
        <v>687595.42</v>
      </c>
      <c r="H145" s="302">
        <f t="shared" si="167"/>
        <v>4125572.5</v>
      </c>
      <c r="I145" s="302">
        <v>0</v>
      </c>
      <c r="J145" s="303" t="str">
        <f t="shared" si="169"/>
        <v>-</v>
      </c>
      <c r="K145" s="302">
        <f t="shared" si="170"/>
        <v>208721452.50999999</v>
      </c>
      <c r="L145" s="302">
        <f>SUM(I146:I149,I151:I158)</f>
        <v>51159412.289999999</v>
      </c>
      <c r="M145" s="302">
        <f t="shared" si="171"/>
        <v>157562040.22</v>
      </c>
      <c r="N145" s="302">
        <v>0</v>
      </c>
    </row>
    <row r="146" spans="1:14" x14ac:dyDescent="0.3">
      <c r="A146" s="298">
        <v>47362</v>
      </c>
      <c r="B146" s="299">
        <f t="shared" si="165"/>
        <v>208721452.50999999</v>
      </c>
      <c r="C146" s="299">
        <f t="shared" si="172"/>
        <v>51159412.289999999</v>
      </c>
      <c r="D146" s="299">
        <f t="shared" si="173"/>
        <v>157562040.22</v>
      </c>
      <c r="E146" s="299">
        <f>'Расчет по лизингу'!E144</f>
        <v>3437977.08</v>
      </c>
      <c r="F146" s="300">
        <f t="shared" si="175"/>
        <v>20</v>
      </c>
      <c r="G146" s="301">
        <f t="shared" si="166"/>
        <v>687595.42</v>
      </c>
      <c r="H146" s="302">
        <f t="shared" si="167"/>
        <v>4125572.5</v>
      </c>
      <c r="I146" s="302">
        <v>0</v>
      </c>
      <c r="J146" s="303" t="str">
        <f t="shared" si="169"/>
        <v>-</v>
      </c>
      <c r="K146" s="302">
        <f t="shared" si="170"/>
        <v>208721452.50999999</v>
      </c>
      <c r="L146" s="302">
        <f>SUM(I147:I149,I151:I159)</f>
        <v>51159412.289999999</v>
      </c>
      <c r="M146" s="302">
        <f t="shared" si="171"/>
        <v>157562040.22</v>
      </c>
      <c r="N146" s="302">
        <v>0</v>
      </c>
    </row>
    <row r="147" spans="1:14" x14ac:dyDescent="0.3">
      <c r="A147" s="298">
        <v>47392</v>
      </c>
      <c r="B147" s="299">
        <f t="shared" si="165"/>
        <v>208721452.50999999</v>
      </c>
      <c r="C147" s="299">
        <f t="shared" si="172"/>
        <v>51159412.289999999</v>
      </c>
      <c r="D147" s="299">
        <f t="shared" si="173"/>
        <v>157562040.22</v>
      </c>
      <c r="E147" s="299">
        <f>'Расчет по лизингу'!E145</f>
        <v>3437977.08</v>
      </c>
      <c r="F147" s="300">
        <f t="shared" si="175"/>
        <v>20</v>
      </c>
      <c r="G147" s="301">
        <f t="shared" si="166"/>
        <v>687595.42</v>
      </c>
      <c r="H147" s="302">
        <f t="shared" si="167"/>
        <v>4125572.5</v>
      </c>
      <c r="I147" s="302">
        <f t="shared" ref="I147" si="177">SUM(H144:H146)</f>
        <v>12376717.5</v>
      </c>
      <c r="J147" s="303">
        <f t="shared" si="169"/>
        <v>47411</v>
      </c>
      <c r="K147" s="302">
        <f t="shared" si="170"/>
        <v>196344735.00999999</v>
      </c>
      <c r="L147" s="302">
        <f>SUM(I148:I149,I151:I160)</f>
        <v>51985683.450000003</v>
      </c>
      <c r="M147" s="302">
        <f t="shared" si="171"/>
        <v>144359051.56</v>
      </c>
      <c r="N147" s="302">
        <v>0</v>
      </c>
    </row>
    <row r="148" spans="1:14" x14ac:dyDescent="0.3">
      <c r="A148" s="298">
        <v>47423</v>
      </c>
      <c r="B148" s="299">
        <f t="shared" si="165"/>
        <v>196344735.00999999</v>
      </c>
      <c r="C148" s="299">
        <f t="shared" si="172"/>
        <v>51985683.450000003</v>
      </c>
      <c r="D148" s="299">
        <f t="shared" si="173"/>
        <v>144359051.56</v>
      </c>
      <c r="E148" s="299">
        <f>'Расчет по лизингу'!E146</f>
        <v>3437977.08</v>
      </c>
      <c r="F148" s="300">
        <f t="shared" si="175"/>
        <v>20</v>
      </c>
      <c r="G148" s="301">
        <f t="shared" si="166"/>
        <v>687595.42</v>
      </c>
      <c r="H148" s="302">
        <f t="shared" si="167"/>
        <v>4125572.5</v>
      </c>
      <c r="I148" s="302">
        <v>0</v>
      </c>
      <c r="J148" s="303" t="str">
        <f t="shared" si="169"/>
        <v>-</v>
      </c>
      <c r="K148" s="302">
        <f t="shared" si="170"/>
        <v>196344735.00999999</v>
      </c>
      <c r="L148" s="302">
        <f>SUM(I149,I151:I161)</f>
        <v>51985683.450000003</v>
      </c>
      <c r="M148" s="302">
        <f t="shared" si="171"/>
        <v>144359051.56</v>
      </c>
      <c r="N148" s="302">
        <v>0</v>
      </c>
    </row>
    <row r="149" spans="1:14" ht="19.5" thickBot="1" x14ac:dyDescent="0.35">
      <c r="A149" s="285">
        <v>47453</v>
      </c>
      <c r="B149" s="286">
        <f t="shared" si="165"/>
        <v>196344735.00999999</v>
      </c>
      <c r="C149" s="286">
        <f t="shared" si="172"/>
        <v>51985683.450000003</v>
      </c>
      <c r="D149" s="286">
        <f t="shared" si="173"/>
        <v>144359051.56</v>
      </c>
      <c r="E149" s="286">
        <f>'Расчет по лизингу'!E147</f>
        <v>3437977.06</v>
      </c>
      <c r="F149" s="304">
        <f t="shared" si="175"/>
        <v>20</v>
      </c>
      <c r="G149" s="288">
        <f t="shared" si="166"/>
        <v>687595.41</v>
      </c>
      <c r="H149" s="289">
        <f t="shared" si="167"/>
        <v>4125572.47</v>
      </c>
      <c r="I149" s="289">
        <v>0</v>
      </c>
      <c r="J149" s="290" t="str">
        <f t="shared" si="169"/>
        <v>-</v>
      </c>
      <c r="K149" s="289">
        <f t="shared" si="170"/>
        <v>196344735.00999999</v>
      </c>
      <c r="L149" s="289">
        <f>SUM(I151:I162)</f>
        <v>51985683.450000003</v>
      </c>
      <c r="M149" s="289">
        <f t="shared" si="171"/>
        <v>144359051.56</v>
      </c>
      <c r="N149" s="289">
        <v>0</v>
      </c>
    </row>
    <row r="150" spans="1:14" s="306" customFormat="1" ht="19.5" thickBot="1" x14ac:dyDescent="0.35">
      <c r="A150" s="291">
        <f>A137+1</f>
        <v>2029</v>
      </c>
      <c r="B150" s="292">
        <f>B138</f>
        <v>245048215.13</v>
      </c>
      <c r="C150" s="292">
        <f t="shared" ref="C150:D150" si="178">C138</f>
        <v>48703480.119999997</v>
      </c>
      <c r="D150" s="292">
        <f t="shared" si="178"/>
        <v>196344735.00999999</v>
      </c>
      <c r="E150" s="292">
        <f t="shared" ref="E150" si="179">SUM(E138:E149)</f>
        <v>41255724.939999998</v>
      </c>
      <c r="F150" s="305">
        <f t="shared" si="175"/>
        <v>20</v>
      </c>
      <c r="G150" s="294">
        <f t="shared" ref="G150:I150" si="180">SUM(G138:G149)</f>
        <v>8251145.0300000003</v>
      </c>
      <c r="H150" s="295">
        <f t="shared" si="180"/>
        <v>49506869.969999999</v>
      </c>
      <c r="I150" s="295">
        <f t="shared" si="180"/>
        <v>48703480.119999997</v>
      </c>
      <c r="J150" s="296"/>
      <c r="K150" s="295">
        <f t="shared" ref="K150:N150" si="181">K149</f>
        <v>196344735.00999999</v>
      </c>
      <c r="L150" s="295">
        <f t="shared" si="181"/>
        <v>51985683.450000003</v>
      </c>
      <c r="M150" s="295">
        <f t="shared" si="181"/>
        <v>144359051.56</v>
      </c>
      <c r="N150" s="295">
        <f t="shared" si="181"/>
        <v>0</v>
      </c>
    </row>
    <row r="151" spans="1:14" x14ac:dyDescent="0.3">
      <c r="A151" s="279">
        <v>10959</v>
      </c>
      <c r="B151" s="280">
        <f t="shared" ref="B151:B162" si="182">K150</f>
        <v>196344735.00999999</v>
      </c>
      <c r="C151" s="280">
        <f>L149</f>
        <v>51985683.450000003</v>
      </c>
      <c r="D151" s="280">
        <f>B151-C151</f>
        <v>144359051.56</v>
      </c>
      <c r="E151" s="280">
        <f>'Расчет по лизингу'!E149</f>
        <v>3667496.85</v>
      </c>
      <c r="F151" s="297">
        <f t="shared" si="175"/>
        <v>20</v>
      </c>
      <c r="G151" s="282">
        <f t="shared" ref="G151:G162" si="183">E151*F151/100</f>
        <v>733499.37</v>
      </c>
      <c r="H151" s="283">
        <f t="shared" ref="H151:H162" si="184">G151+E151</f>
        <v>4400996.22</v>
      </c>
      <c r="I151" s="283">
        <f t="shared" ref="I151" si="185">SUM(H147:H149)</f>
        <v>12376717.470000001</v>
      </c>
      <c r="J151" s="284">
        <f t="shared" ref="J151:J162" si="186">IF(I151=0,"-",A151+19)</f>
        <v>10978</v>
      </c>
      <c r="K151" s="283">
        <f t="shared" ref="K151:K162" si="187">B151-I151</f>
        <v>183968017.53999999</v>
      </c>
      <c r="L151" s="283">
        <f>SUM(I152:I162,I164)</f>
        <v>52811954.68</v>
      </c>
      <c r="M151" s="283">
        <f>K151-L151</f>
        <v>131156062.86</v>
      </c>
      <c r="N151" s="283">
        <v>0</v>
      </c>
    </row>
    <row r="152" spans="1:14" x14ac:dyDescent="0.3">
      <c r="A152" s="298">
        <v>10990</v>
      </c>
      <c r="B152" s="299">
        <f t="shared" si="182"/>
        <v>183968017.53999999</v>
      </c>
      <c r="C152" s="299">
        <f>L151</f>
        <v>52811954.68</v>
      </c>
      <c r="D152" s="299">
        <f>B152-C152</f>
        <v>131156062.86</v>
      </c>
      <c r="E152" s="299">
        <f>'Расчет по лизингу'!E150</f>
        <v>3667496.85</v>
      </c>
      <c r="F152" s="300">
        <f t="shared" si="175"/>
        <v>20</v>
      </c>
      <c r="G152" s="301">
        <f t="shared" si="183"/>
        <v>733499.37</v>
      </c>
      <c r="H152" s="302">
        <f t="shared" si="184"/>
        <v>4400996.22</v>
      </c>
      <c r="I152" s="302">
        <v>0</v>
      </c>
      <c r="J152" s="303" t="str">
        <f t="shared" si="186"/>
        <v>-</v>
      </c>
      <c r="K152" s="302">
        <f t="shared" si="187"/>
        <v>183968017.53999999</v>
      </c>
      <c r="L152" s="302">
        <f>SUM(I153:I162,I164:I165)</f>
        <v>52811954.68</v>
      </c>
      <c r="M152" s="302">
        <f t="shared" ref="M152:M162" si="188">K152-L152</f>
        <v>131156062.86</v>
      </c>
      <c r="N152" s="302">
        <v>0</v>
      </c>
    </row>
    <row r="153" spans="1:14" x14ac:dyDescent="0.3">
      <c r="A153" s="298">
        <v>11018</v>
      </c>
      <c r="B153" s="299">
        <f t="shared" si="182"/>
        <v>183968017.53999999</v>
      </c>
      <c r="C153" s="299">
        <f t="shared" ref="C153:C162" si="189">L152</f>
        <v>52811954.68</v>
      </c>
      <c r="D153" s="299">
        <f t="shared" ref="D153:D162" si="190">B153-C153</f>
        <v>131156062.86</v>
      </c>
      <c r="E153" s="299">
        <f>'Расчет по лизингу'!E151</f>
        <v>3667496.85</v>
      </c>
      <c r="F153" s="300">
        <f t="shared" si="175"/>
        <v>20</v>
      </c>
      <c r="G153" s="301">
        <f t="shared" si="183"/>
        <v>733499.37</v>
      </c>
      <c r="H153" s="302">
        <f t="shared" si="184"/>
        <v>4400996.22</v>
      </c>
      <c r="I153" s="302">
        <v>0</v>
      </c>
      <c r="J153" s="303" t="str">
        <f t="shared" si="186"/>
        <v>-</v>
      </c>
      <c r="K153" s="302">
        <f t="shared" si="187"/>
        <v>183968017.53999999</v>
      </c>
      <c r="L153" s="302">
        <f>SUM(I154:I162,I164:I166)</f>
        <v>52811954.68</v>
      </c>
      <c r="M153" s="302">
        <f t="shared" si="188"/>
        <v>131156062.86</v>
      </c>
      <c r="N153" s="302">
        <v>0</v>
      </c>
    </row>
    <row r="154" spans="1:14" x14ac:dyDescent="0.3">
      <c r="A154" s="298">
        <v>11049</v>
      </c>
      <c r="B154" s="299">
        <f t="shared" si="182"/>
        <v>183968017.53999999</v>
      </c>
      <c r="C154" s="299">
        <f t="shared" si="189"/>
        <v>52811954.68</v>
      </c>
      <c r="D154" s="299">
        <f t="shared" si="190"/>
        <v>131156062.86</v>
      </c>
      <c r="E154" s="299">
        <f>'Расчет по лизингу'!E152</f>
        <v>3667496.85</v>
      </c>
      <c r="F154" s="300">
        <f t="shared" si="175"/>
        <v>20</v>
      </c>
      <c r="G154" s="301">
        <f t="shared" si="183"/>
        <v>733499.37</v>
      </c>
      <c r="H154" s="302">
        <f t="shared" si="184"/>
        <v>4400996.22</v>
      </c>
      <c r="I154" s="302">
        <f t="shared" ref="I154" si="191">SUM(H151:H153)</f>
        <v>13202988.66</v>
      </c>
      <c r="J154" s="303">
        <f t="shared" si="186"/>
        <v>11068</v>
      </c>
      <c r="K154" s="302">
        <f t="shared" si="187"/>
        <v>170765028.88</v>
      </c>
      <c r="L154" s="302">
        <f>SUM(I155:I162,I164:I167)</f>
        <v>53658564.850000001</v>
      </c>
      <c r="M154" s="302">
        <f t="shared" si="188"/>
        <v>117106464.03</v>
      </c>
      <c r="N154" s="302">
        <v>0</v>
      </c>
    </row>
    <row r="155" spans="1:14" x14ac:dyDescent="0.3">
      <c r="A155" s="298">
        <v>11079</v>
      </c>
      <c r="B155" s="299">
        <f t="shared" si="182"/>
        <v>170765028.88</v>
      </c>
      <c r="C155" s="299">
        <f t="shared" si="189"/>
        <v>53658564.850000001</v>
      </c>
      <c r="D155" s="299">
        <f t="shared" si="190"/>
        <v>117106464.03</v>
      </c>
      <c r="E155" s="299">
        <f>'Расчет по лизингу'!E153</f>
        <v>3667496.85</v>
      </c>
      <c r="F155" s="300">
        <f t="shared" ref="F155:F167" si="192">F154</f>
        <v>20</v>
      </c>
      <c r="G155" s="301">
        <f t="shared" si="183"/>
        <v>733499.37</v>
      </c>
      <c r="H155" s="302">
        <f t="shared" si="184"/>
        <v>4400996.22</v>
      </c>
      <c r="I155" s="302">
        <v>0</v>
      </c>
      <c r="J155" s="303" t="str">
        <f t="shared" si="186"/>
        <v>-</v>
      </c>
      <c r="K155" s="302">
        <f t="shared" si="187"/>
        <v>170765028.88</v>
      </c>
      <c r="L155" s="302">
        <f>SUM(I156:I162,I164:I168)</f>
        <v>53658564.850000001</v>
      </c>
      <c r="M155" s="302">
        <f t="shared" si="188"/>
        <v>117106464.03</v>
      </c>
      <c r="N155" s="302">
        <v>0</v>
      </c>
    </row>
    <row r="156" spans="1:14" x14ac:dyDescent="0.3">
      <c r="A156" s="298">
        <v>11110</v>
      </c>
      <c r="B156" s="299">
        <f t="shared" si="182"/>
        <v>170765028.88</v>
      </c>
      <c r="C156" s="299">
        <f t="shared" si="189"/>
        <v>53658564.850000001</v>
      </c>
      <c r="D156" s="299">
        <f t="shared" si="190"/>
        <v>117106464.03</v>
      </c>
      <c r="E156" s="299">
        <f>'Расчет по лизингу'!E154</f>
        <v>3667496.85</v>
      </c>
      <c r="F156" s="300">
        <f t="shared" si="192"/>
        <v>20</v>
      </c>
      <c r="G156" s="301">
        <f t="shared" si="183"/>
        <v>733499.37</v>
      </c>
      <c r="H156" s="302">
        <f t="shared" si="184"/>
        <v>4400996.22</v>
      </c>
      <c r="I156" s="302">
        <v>0</v>
      </c>
      <c r="J156" s="303" t="str">
        <f t="shared" si="186"/>
        <v>-</v>
      </c>
      <c r="K156" s="302">
        <f t="shared" si="187"/>
        <v>170765028.88</v>
      </c>
      <c r="L156" s="302">
        <f>SUM(I157:I162,I164:I169)</f>
        <v>53658564.850000001</v>
      </c>
      <c r="M156" s="302">
        <f t="shared" si="188"/>
        <v>117106464.03</v>
      </c>
      <c r="N156" s="302">
        <v>0</v>
      </c>
    </row>
    <row r="157" spans="1:14" x14ac:dyDescent="0.3">
      <c r="A157" s="298">
        <v>11140</v>
      </c>
      <c r="B157" s="299">
        <f t="shared" si="182"/>
        <v>170765028.88</v>
      </c>
      <c r="C157" s="299">
        <f t="shared" si="189"/>
        <v>53658564.850000001</v>
      </c>
      <c r="D157" s="299">
        <f t="shared" si="190"/>
        <v>117106464.03</v>
      </c>
      <c r="E157" s="299">
        <f>'Расчет по лизингу'!E155</f>
        <v>3667496.85</v>
      </c>
      <c r="F157" s="300">
        <f t="shared" si="192"/>
        <v>20</v>
      </c>
      <c r="G157" s="301">
        <f t="shared" si="183"/>
        <v>733499.37</v>
      </c>
      <c r="H157" s="302">
        <f t="shared" si="184"/>
        <v>4400996.22</v>
      </c>
      <c r="I157" s="302">
        <f t="shared" ref="I157" si="193">SUM(H154:H156)</f>
        <v>13202988.66</v>
      </c>
      <c r="J157" s="303">
        <f t="shared" si="186"/>
        <v>11159</v>
      </c>
      <c r="K157" s="302">
        <f t="shared" si="187"/>
        <v>157562040.22</v>
      </c>
      <c r="L157" s="302">
        <f>SUM(I158:I162,I164:I170)</f>
        <v>54505175.020000003</v>
      </c>
      <c r="M157" s="302">
        <f t="shared" si="188"/>
        <v>103056865.2</v>
      </c>
      <c r="N157" s="302">
        <v>0</v>
      </c>
    </row>
    <row r="158" spans="1:14" x14ac:dyDescent="0.3">
      <c r="A158" s="298">
        <v>11171</v>
      </c>
      <c r="B158" s="299">
        <f t="shared" si="182"/>
        <v>157562040.22</v>
      </c>
      <c r="C158" s="299">
        <f t="shared" si="189"/>
        <v>54505175.020000003</v>
      </c>
      <c r="D158" s="299">
        <f t="shared" si="190"/>
        <v>103056865.2</v>
      </c>
      <c r="E158" s="299">
        <f>'Расчет по лизингу'!E156</f>
        <v>3667496.85</v>
      </c>
      <c r="F158" s="300">
        <f t="shared" si="192"/>
        <v>20</v>
      </c>
      <c r="G158" s="301">
        <f t="shared" si="183"/>
        <v>733499.37</v>
      </c>
      <c r="H158" s="302">
        <f t="shared" si="184"/>
        <v>4400996.22</v>
      </c>
      <c r="I158" s="302">
        <v>0</v>
      </c>
      <c r="J158" s="303" t="str">
        <f t="shared" si="186"/>
        <v>-</v>
      </c>
      <c r="K158" s="302">
        <f t="shared" si="187"/>
        <v>157562040.22</v>
      </c>
      <c r="L158" s="302">
        <f>SUM(I159:I162,I164:I171)</f>
        <v>54505175.020000003</v>
      </c>
      <c r="M158" s="302">
        <f t="shared" si="188"/>
        <v>103056865.2</v>
      </c>
      <c r="N158" s="302">
        <v>0</v>
      </c>
    </row>
    <row r="159" spans="1:14" x14ac:dyDescent="0.3">
      <c r="A159" s="298">
        <v>11202</v>
      </c>
      <c r="B159" s="299">
        <f t="shared" si="182"/>
        <v>157562040.22</v>
      </c>
      <c r="C159" s="299">
        <f t="shared" si="189"/>
        <v>54505175.020000003</v>
      </c>
      <c r="D159" s="299">
        <f t="shared" si="190"/>
        <v>103056865.2</v>
      </c>
      <c r="E159" s="299">
        <f>'Расчет по лизингу'!E157</f>
        <v>3667496.85</v>
      </c>
      <c r="F159" s="300">
        <f t="shared" si="192"/>
        <v>20</v>
      </c>
      <c r="G159" s="301">
        <f t="shared" si="183"/>
        <v>733499.37</v>
      </c>
      <c r="H159" s="302">
        <f t="shared" si="184"/>
        <v>4400996.22</v>
      </c>
      <c r="I159" s="302">
        <v>0</v>
      </c>
      <c r="J159" s="303" t="str">
        <f t="shared" si="186"/>
        <v>-</v>
      </c>
      <c r="K159" s="302">
        <f t="shared" si="187"/>
        <v>157562040.22</v>
      </c>
      <c r="L159" s="302">
        <f>SUM(I160:I162,I164:I172)</f>
        <v>54505175.020000003</v>
      </c>
      <c r="M159" s="302">
        <f t="shared" si="188"/>
        <v>103056865.2</v>
      </c>
      <c r="N159" s="302">
        <v>0</v>
      </c>
    </row>
    <row r="160" spans="1:14" x14ac:dyDescent="0.3">
      <c r="A160" s="298">
        <v>11232</v>
      </c>
      <c r="B160" s="299">
        <f t="shared" si="182"/>
        <v>157562040.22</v>
      </c>
      <c r="C160" s="299">
        <f t="shared" si="189"/>
        <v>54505175.020000003</v>
      </c>
      <c r="D160" s="299">
        <f t="shared" si="190"/>
        <v>103056865.2</v>
      </c>
      <c r="E160" s="299">
        <f>'Расчет по лизингу'!E158</f>
        <v>3667496.85</v>
      </c>
      <c r="F160" s="300">
        <f t="shared" si="192"/>
        <v>20</v>
      </c>
      <c r="G160" s="301">
        <f t="shared" si="183"/>
        <v>733499.37</v>
      </c>
      <c r="H160" s="302">
        <f t="shared" si="184"/>
        <v>4400996.22</v>
      </c>
      <c r="I160" s="302">
        <f t="shared" ref="I160" si="194">SUM(H157:H159)</f>
        <v>13202988.66</v>
      </c>
      <c r="J160" s="303">
        <f t="shared" si="186"/>
        <v>11251</v>
      </c>
      <c r="K160" s="302">
        <f t="shared" si="187"/>
        <v>144359051.56</v>
      </c>
      <c r="L160" s="302">
        <f>SUM(I161:I162,I164:I173)</f>
        <v>55351785.189999998</v>
      </c>
      <c r="M160" s="302">
        <f t="shared" si="188"/>
        <v>89007266.370000005</v>
      </c>
      <c r="N160" s="302">
        <v>0</v>
      </c>
    </row>
    <row r="161" spans="1:14" x14ac:dyDescent="0.3">
      <c r="A161" s="298">
        <v>11263</v>
      </c>
      <c r="B161" s="299">
        <f t="shared" si="182"/>
        <v>144359051.56</v>
      </c>
      <c r="C161" s="299">
        <f t="shared" si="189"/>
        <v>55351785.189999998</v>
      </c>
      <c r="D161" s="299">
        <f t="shared" si="190"/>
        <v>89007266.370000005</v>
      </c>
      <c r="E161" s="299">
        <f>'Расчет по лизингу'!E159</f>
        <v>3667496.85</v>
      </c>
      <c r="F161" s="300">
        <f t="shared" si="192"/>
        <v>20</v>
      </c>
      <c r="G161" s="301">
        <f t="shared" si="183"/>
        <v>733499.37</v>
      </c>
      <c r="H161" s="302">
        <f t="shared" si="184"/>
        <v>4400996.22</v>
      </c>
      <c r="I161" s="302">
        <v>0</v>
      </c>
      <c r="J161" s="303" t="str">
        <f t="shared" si="186"/>
        <v>-</v>
      </c>
      <c r="K161" s="302">
        <f t="shared" si="187"/>
        <v>144359051.56</v>
      </c>
      <c r="L161" s="302">
        <f>SUM(I162,I164:I174)</f>
        <v>55351785.189999998</v>
      </c>
      <c r="M161" s="302">
        <f t="shared" si="188"/>
        <v>89007266.370000005</v>
      </c>
      <c r="N161" s="302">
        <v>0</v>
      </c>
    </row>
    <row r="162" spans="1:14" ht="19.5" thickBot="1" x14ac:dyDescent="0.35">
      <c r="A162" s="285">
        <v>11293</v>
      </c>
      <c r="B162" s="286">
        <f t="shared" si="182"/>
        <v>144359051.56</v>
      </c>
      <c r="C162" s="286">
        <f t="shared" si="189"/>
        <v>55351785.189999998</v>
      </c>
      <c r="D162" s="286">
        <f t="shared" si="190"/>
        <v>89007266.370000005</v>
      </c>
      <c r="E162" s="286">
        <f>'Расчет по лизингу'!E160</f>
        <v>3667496.88</v>
      </c>
      <c r="F162" s="304">
        <f t="shared" si="192"/>
        <v>20</v>
      </c>
      <c r="G162" s="288">
        <f t="shared" si="183"/>
        <v>733499.38</v>
      </c>
      <c r="H162" s="289">
        <f t="shared" si="184"/>
        <v>4400996.26</v>
      </c>
      <c r="I162" s="289">
        <v>0</v>
      </c>
      <c r="J162" s="290" t="str">
        <f t="shared" si="186"/>
        <v>-</v>
      </c>
      <c r="K162" s="289">
        <f t="shared" si="187"/>
        <v>144359051.56</v>
      </c>
      <c r="L162" s="289">
        <f>SUM(I164:I175)</f>
        <v>55351785.189999998</v>
      </c>
      <c r="M162" s="289">
        <f t="shared" si="188"/>
        <v>89007266.370000005</v>
      </c>
      <c r="N162" s="289">
        <v>0</v>
      </c>
    </row>
    <row r="163" spans="1:14" s="306" customFormat="1" ht="19.5" thickBot="1" x14ac:dyDescent="0.35">
      <c r="A163" s="291">
        <f>A150+1</f>
        <v>2030</v>
      </c>
      <c r="B163" s="292">
        <f>B151</f>
        <v>196344735.00999999</v>
      </c>
      <c r="C163" s="292">
        <f t="shared" ref="C163:D163" si="195">C151</f>
        <v>51985683.450000003</v>
      </c>
      <c r="D163" s="292">
        <f t="shared" si="195"/>
        <v>144359051.56</v>
      </c>
      <c r="E163" s="292">
        <f t="shared" ref="E163" si="196">SUM(E151:E162)</f>
        <v>44009962.229999997</v>
      </c>
      <c r="F163" s="305">
        <f t="shared" si="192"/>
        <v>20</v>
      </c>
      <c r="G163" s="294">
        <f t="shared" ref="G163:I163" si="197">SUM(G151:G162)</f>
        <v>8801992.4499999993</v>
      </c>
      <c r="H163" s="295">
        <f t="shared" si="197"/>
        <v>52811954.68</v>
      </c>
      <c r="I163" s="295">
        <f t="shared" si="197"/>
        <v>51985683.450000003</v>
      </c>
      <c r="J163" s="296"/>
      <c r="K163" s="295">
        <f t="shared" ref="K163:N163" si="198">K162</f>
        <v>144359051.56</v>
      </c>
      <c r="L163" s="295">
        <f t="shared" si="198"/>
        <v>55351785.189999998</v>
      </c>
      <c r="M163" s="295">
        <f t="shared" si="198"/>
        <v>89007266.370000005</v>
      </c>
      <c r="N163" s="295">
        <f t="shared" si="198"/>
        <v>0</v>
      </c>
    </row>
    <row r="164" spans="1:14" x14ac:dyDescent="0.3">
      <c r="A164" s="279">
        <v>11324</v>
      </c>
      <c r="B164" s="280">
        <f t="shared" ref="B164:B175" si="199">K163</f>
        <v>144359051.56</v>
      </c>
      <c r="C164" s="280">
        <f>L162</f>
        <v>55351785.189999998</v>
      </c>
      <c r="D164" s="280">
        <f>B164-C164</f>
        <v>89007266.370000005</v>
      </c>
      <c r="E164" s="280">
        <f>'Расчет по лизингу'!E162</f>
        <v>3902666.34</v>
      </c>
      <c r="F164" s="297">
        <f t="shared" si="192"/>
        <v>20</v>
      </c>
      <c r="G164" s="282">
        <f t="shared" ref="G164:G175" si="200">E164*F164/100</f>
        <v>780533.27</v>
      </c>
      <c r="H164" s="283">
        <f t="shared" ref="H164:H175" si="201">G164+E164</f>
        <v>4683199.6100000003</v>
      </c>
      <c r="I164" s="283">
        <f t="shared" ref="I164" si="202">SUM(H160:H162)</f>
        <v>13202988.699999999</v>
      </c>
      <c r="J164" s="284">
        <f t="shared" ref="J164:J175" si="203">IF(I164=0,"-",A164+19)</f>
        <v>11343</v>
      </c>
      <c r="K164" s="283">
        <f t="shared" ref="K164:K175" si="204">B164-I164</f>
        <v>131156062.86</v>
      </c>
      <c r="L164" s="283">
        <f>SUM(I165:I175,I177)</f>
        <v>56198395.369999997</v>
      </c>
      <c r="M164" s="283">
        <f>K164-L164</f>
        <v>74957667.489999995</v>
      </c>
      <c r="N164" s="283">
        <v>0</v>
      </c>
    </row>
    <row r="165" spans="1:14" x14ac:dyDescent="0.3">
      <c r="A165" s="298">
        <v>11355</v>
      </c>
      <c r="B165" s="299">
        <f t="shared" si="199"/>
        <v>131156062.86</v>
      </c>
      <c r="C165" s="299">
        <f>L164</f>
        <v>56198395.369999997</v>
      </c>
      <c r="D165" s="299">
        <f>B165-C165</f>
        <v>74957667.489999995</v>
      </c>
      <c r="E165" s="299">
        <f>'Расчет по лизингу'!E163</f>
        <v>3902666.34</v>
      </c>
      <c r="F165" s="300">
        <f t="shared" si="192"/>
        <v>20</v>
      </c>
      <c r="G165" s="301">
        <f t="shared" si="200"/>
        <v>780533.27</v>
      </c>
      <c r="H165" s="302">
        <f t="shared" si="201"/>
        <v>4683199.6100000003</v>
      </c>
      <c r="I165" s="302">
        <v>0</v>
      </c>
      <c r="J165" s="303" t="str">
        <f t="shared" si="203"/>
        <v>-</v>
      </c>
      <c r="K165" s="302">
        <f t="shared" si="204"/>
        <v>131156062.86</v>
      </c>
      <c r="L165" s="302">
        <f>SUM(I166:I175,I177:I178)</f>
        <v>56198395.369999997</v>
      </c>
      <c r="M165" s="302">
        <f t="shared" ref="M165:M175" si="205">K165-L165</f>
        <v>74957667.489999995</v>
      </c>
      <c r="N165" s="302">
        <v>0</v>
      </c>
    </row>
    <row r="166" spans="1:14" x14ac:dyDescent="0.3">
      <c r="A166" s="298">
        <v>11383</v>
      </c>
      <c r="B166" s="299">
        <f t="shared" si="199"/>
        <v>131156062.86</v>
      </c>
      <c r="C166" s="299">
        <f t="shared" ref="C166:C175" si="206">L165</f>
        <v>56198395.369999997</v>
      </c>
      <c r="D166" s="299">
        <f t="shared" ref="D166:D175" si="207">B166-C166</f>
        <v>74957667.489999995</v>
      </c>
      <c r="E166" s="299">
        <f>'Расчет по лизингу'!E164</f>
        <v>3902666.34</v>
      </c>
      <c r="F166" s="300">
        <f t="shared" si="192"/>
        <v>20</v>
      </c>
      <c r="G166" s="301">
        <f t="shared" si="200"/>
        <v>780533.27</v>
      </c>
      <c r="H166" s="302">
        <f t="shared" si="201"/>
        <v>4683199.6100000003</v>
      </c>
      <c r="I166" s="302">
        <v>0</v>
      </c>
      <c r="J166" s="303" t="str">
        <f t="shared" si="203"/>
        <v>-</v>
      </c>
      <c r="K166" s="302">
        <f t="shared" si="204"/>
        <v>131156062.86</v>
      </c>
      <c r="L166" s="302">
        <f>SUM(I167:I175,I177:I179)</f>
        <v>56198395.369999997</v>
      </c>
      <c r="M166" s="302">
        <f t="shared" si="205"/>
        <v>74957667.489999995</v>
      </c>
      <c r="N166" s="302">
        <v>0</v>
      </c>
    </row>
    <row r="167" spans="1:14" x14ac:dyDescent="0.3">
      <c r="A167" s="298">
        <v>11414</v>
      </c>
      <c r="B167" s="299">
        <f t="shared" si="199"/>
        <v>131156062.86</v>
      </c>
      <c r="C167" s="299">
        <f t="shared" si="206"/>
        <v>56198395.369999997</v>
      </c>
      <c r="D167" s="299">
        <f t="shared" si="207"/>
        <v>74957667.489999995</v>
      </c>
      <c r="E167" s="299">
        <f>'Расчет по лизингу'!E165</f>
        <v>3902666.34</v>
      </c>
      <c r="F167" s="300">
        <f t="shared" si="192"/>
        <v>20</v>
      </c>
      <c r="G167" s="301">
        <f t="shared" si="200"/>
        <v>780533.27</v>
      </c>
      <c r="H167" s="302">
        <f t="shared" si="201"/>
        <v>4683199.6100000003</v>
      </c>
      <c r="I167" s="302">
        <f t="shared" ref="I167" si="208">SUM(H164:H166)</f>
        <v>14049598.83</v>
      </c>
      <c r="J167" s="303">
        <f t="shared" si="203"/>
        <v>11433</v>
      </c>
      <c r="K167" s="302">
        <f t="shared" si="204"/>
        <v>117106464.03</v>
      </c>
      <c r="L167" s="302">
        <f>SUM(I168:I175,I177:I180)</f>
        <v>58463649.619999997</v>
      </c>
      <c r="M167" s="302">
        <f t="shared" si="205"/>
        <v>58642814.409999996</v>
      </c>
      <c r="N167" s="302">
        <v>0</v>
      </c>
    </row>
    <row r="168" spans="1:14" x14ac:dyDescent="0.3">
      <c r="A168" s="298">
        <v>11444</v>
      </c>
      <c r="B168" s="299">
        <f t="shared" si="199"/>
        <v>117106464.03</v>
      </c>
      <c r="C168" s="299">
        <f t="shared" si="206"/>
        <v>58463649.619999997</v>
      </c>
      <c r="D168" s="299">
        <f t="shared" si="207"/>
        <v>58642814.409999996</v>
      </c>
      <c r="E168" s="299">
        <f>'Расчет по лизингу'!E166</f>
        <v>3902666.34</v>
      </c>
      <c r="F168" s="300">
        <f t="shared" ref="F168:F180" si="209">F167</f>
        <v>20</v>
      </c>
      <c r="G168" s="301">
        <f t="shared" si="200"/>
        <v>780533.27</v>
      </c>
      <c r="H168" s="302">
        <f t="shared" si="201"/>
        <v>4683199.6100000003</v>
      </c>
      <c r="I168" s="302">
        <v>0</v>
      </c>
      <c r="J168" s="303" t="str">
        <f t="shared" si="203"/>
        <v>-</v>
      </c>
      <c r="K168" s="302">
        <f t="shared" si="204"/>
        <v>117106464.03</v>
      </c>
      <c r="L168" s="302">
        <f>SUM(I169:I175,I177:I181)</f>
        <v>58463649.619999997</v>
      </c>
      <c r="M168" s="302">
        <f t="shared" si="205"/>
        <v>58642814.409999996</v>
      </c>
      <c r="N168" s="302">
        <v>0</v>
      </c>
    </row>
    <row r="169" spans="1:14" x14ac:dyDescent="0.3">
      <c r="A169" s="298">
        <v>11475</v>
      </c>
      <c r="B169" s="299">
        <f t="shared" si="199"/>
        <v>117106464.03</v>
      </c>
      <c r="C169" s="299">
        <f t="shared" si="206"/>
        <v>58463649.619999997</v>
      </c>
      <c r="D169" s="299">
        <f t="shared" si="207"/>
        <v>58642814.409999996</v>
      </c>
      <c r="E169" s="299">
        <f>'Расчет по лизингу'!E167</f>
        <v>3902666.34</v>
      </c>
      <c r="F169" s="300">
        <f t="shared" si="209"/>
        <v>20</v>
      </c>
      <c r="G169" s="301">
        <f t="shared" si="200"/>
        <v>780533.27</v>
      </c>
      <c r="H169" s="302">
        <f t="shared" si="201"/>
        <v>4683199.6100000003</v>
      </c>
      <c r="I169" s="302">
        <v>0</v>
      </c>
      <c r="J169" s="303" t="str">
        <f t="shared" si="203"/>
        <v>-</v>
      </c>
      <c r="K169" s="302">
        <f t="shared" si="204"/>
        <v>117106464.03</v>
      </c>
      <c r="L169" s="302">
        <f>SUM(I170:I175,I177:I182)</f>
        <v>58463649.619999997</v>
      </c>
      <c r="M169" s="302">
        <f t="shared" si="205"/>
        <v>58642814.409999996</v>
      </c>
      <c r="N169" s="302">
        <v>0</v>
      </c>
    </row>
    <row r="170" spans="1:14" x14ac:dyDescent="0.3">
      <c r="A170" s="298">
        <v>11505</v>
      </c>
      <c r="B170" s="299">
        <f t="shared" si="199"/>
        <v>117106464.03</v>
      </c>
      <c r="C170" s="299">
        <f t="shared" si="206"/>
        <v>58463649.619999997</v>
      </c>
      <c r="D170" s="299">
        <f t="shared" si="207"/>
        <v>58642814.409999996</v>
      </c>
      <c r="E170" s="299">
        <f>'Расчет по лизингу'!E168</f>
        <v>3902666.34</v>
      </c>
      <c r="F170" s="300">
        <f t="shared" si="209"/>
        <v>20</v>
      </c>
      <c r="G170" s="301">
        <f t="shared" si="200"/>
        <v>780533.27</v>
      </c>
      <c r="H170" s="302">
        <f t="shared" si="201"/>
        <v>4683199.6100000003</v>
      </c>
      <c r="I170" s="302">
        <f t="shared" ref="I170" si="210">SUM(H167:H169)</f>
        <v>14049598.83</v>
      </c>
      <c r="J170" s="303">
        <f t="shared" si="203"/>
        <v>11524</v>
      </c>
      <c r="K170" s="302">
        <f t="shared" si="204"/>
        <v>103056865.2</v>
      </c>
      <c r="L170" s="302">
        <f>SUM(I171:I175,I177:I183)</f>
        <v>60728903.869999997</v>
      </c>
      <c r="M170" s="302">
        <f t="shared" si="205"/>
        <v>42327961.329999998</v>
      </c>
      <c r="N170" s="302">
        <v>0</v>
      </c>
    </row>
    <row r="171" spans="1:14" x14ac:dyDescent="0.3">
      <c r="A171" s="298">
        <v>11536</v>
      </c>
      <c r="B171" s="299">
        <f t="shared" si="199"/>
        <v>103056865.2</v>
      </c>
      <c r="C171" s="299">
        <f t="shared" si="206"/>
        <v>60728903.869999997</v>
      </c>
      <c r="D171" s="299">
        <f t="shared" si="207"/>
        <v>42327961.329999998</v>
      </c>
      <c r="E171" s="299">
        <f>'Расчет по лизингу'!E169</f>
        <v>3902666.34</v>
      </c>
      <c r="F171" s="300">
        <f t="shared" si="209"/>
        <v>20</v>
      </c>
      <c r="G171" s="301">
        <f t="shared" si="200"/>
        <v>780533.27</v>
      </c>
      <c r="H171" s="302">
        <f t="shared" si="201"/>
        <v>4683199.6100000003</v>
      </c>
      <c r="I171" s="302">
        <v>0</v>
      </c>
      <c r="J171" s="303" t="str">
        <f t="shared" si="203"/>
        <v>-</v>
      </c>
      <c r="K171" s="302">
        <f t="shared" si="204"/>
        <v>103056865.2</v>
      </c>
      <c r="L171" s="302">
        <f>SUM(I172:I175,I177:I184)</f>
        <v>60728903.869999997</v>
      </c>
      <c r="M171" s="302">
        <f t="shared" si="205"/>
        <v>42327961.329999998</v>
      </c>
      <c r="N171" s="302">
        <v>0</v>
      </c>
    </row>
    <row r="172" spans="1:14" x14ac:dyDescent="0.3">
      <c r="A172" s="298">
        <v>11567</v>
      </c>
      <c r="B172" s="299">
        <f t="shared" si="199"/>
        <v>103056865.2</v>
      </c>
      <c r="C172" s="299">
        <f t="shared" si="206"/>
        <v>60728903.869999997</v>
      </c>
      <c r="D172" s="299">
        <f t="shared" si="207"/>
        <v>42327961.329999998</v>
      </c>
      <c r="E172" s="299">
        <f>'Расчет по лизингу'!E170</f>
        <v>3902666.34</v>
      </c>
      <c r="F172" s="300">
        <f t="shared" si="209"/>
        <v>20</v>
      </c>
      <c r="G172" s="301">
        <f t="shared" si="200"/>
        <v>780533.27</v>
      </c>
      <c r="H172" s="302">
        <f t="shared" si="201"/>
        <v>4683199.6100000003</v>
      </c>
      <c r="I172" s="302">
        <v>0</v>
      </c>
      <c r="J172" s="303" t="str">
        <f t="shared" si="203"/>
        <v>-</v>
      </c>
      <c r="K172" s="302">
        <f t="shared" si="204"/>
        <v>103056865.2</v>
      </c>
      <c r="L172" s="302">
        <f>SUM(I173:I175,I177:I185)</f>
        <v>60728903.869999997</v>
      </c>
      <c r="M172" s="302">
        <f t="shared" si="205"/>
        <v>42327961.329999998</v>
      </c>
      <c r="N172" s="302">
        <v>0</v>
      </c>
    </row>
    <row r="173" spans="1:14" x14ac:dyDescent="0.3">
      <c r="A173" s="298">
        <v>11597</v>
      </c>
      <c r="B173" s="299">
        <f t="shared" si="199"/>
        <v>103056865.2</v>
      </c>
      <c r="C173" s="299">
        <f t="shared" si="206"/>
        <v>60728903.869999997</v>
      </c>
      <c r="D173" s="299">
        <f t="shared" si="207"/>
        <v>42327961.329999998</v>
      </c>
      <c r="E173" s="299">
        <f>'Расчет по лизингу'!E171</f>
        <v>3902666.34</v>
      </c>
      <c r="F173" s="300">
        <f t="shared" si="209"/>
        <v>20</v>
      </c>
      <c r="G173" s="301">
        <f t="shared" si="200"/>
        <v>780533.27</v>
      </c>
      <c r="H173" s="302">
        <f t="shared" si="201"/>
        <v>4683199.6100000003</v>
      </c>
      <c r="I173" s="302">
        <f t="shared" ref="I173" si="211">SUM(H170:H172)</f>
        <v>14049598.83</v>
      </c>
      <c r="J173" s="303">
        <f t="shared" si="203"/>
        <v>11616</v>
      </c>
      <c r="K173" s="302">
        <f t="shared" si="204"/>
        <v>89007266.370000005</v>
      </c>
      <c r="L173" s="302">
        <f>SUM(I174:I175,I177:I186)</f>
        <v>62994158.119999997</v>
      </c>
      <c r="M173" s="302">
        <f t="shared" si="205"/>
        <v>26013108.25</v>
      </c>
      <c r="N173" s="302">
        <v>0</v>
      </c>
    </row>
    <row r="174" spans="1:14" x14ac:dyDescent="0.3">
      <c r="A174" s="298">
        <v>11628</v>
      </c>
      <c r="B174" s="299">
        <f t="shared" si="199"/>
        <v>89007266.370000005</v>
      </c>
      <c r="C174" s="299">
        <f t="shared" si="206"/>
        <v>62994158.119999997</v>
      </c>
      <c r="D174" s="299">
        <f t="shared" si="207"/>
        <v>26013108.25</v>
      </c>
      <c r="E174" s="299">
        <f>'Расчет по лизингу'!E172</f>
        <v>3902666.34</v>
      </c>
      <c r="F174" s="300">
        <f t="shared" si="209"/>
        <v>20</v>
      </c>
      <c r="G174" s="301">
        <f t="shared" si="200"/>
        <v>780533.27</v>
      </c>
      <c r="H174" s="302">
        <f t="shared" si="201"/>
        <v>4683199.6100000003</v>
      </c>
      <c r="I174" s="302">
        <v>0</v>
      </c>
      <c r="J174" s="303" t="str">
        <f t="shared" si="203"/>
        <v>-</v>
      </c>
      <c r="K174" s="302">
        <f t="shared" si="204"/>
        <v>89007266.370000005</v>
      </c>
      <c r="L174" s="302">
        <f>SUM(I175,I177:I187)</f>
        <v>62994158.119999997</v>
      </c>
      <c r="M174" s="302">
        <f t="shared" si="205"/>
        <v>26013108.25</v>
      </c>
      <c r="N174" s="302">
        <v>0</v>
      </c>
    </row>
    <row r="175" spans="1:14" ht="19.5" thickBot="1" x14ac:dyDescent="0.35">
      <c r="A175" s="285">
        <v>11658</v>
      </c>
      <c r="B175" s="286">
        <f t="shared" si="199"/>
        <v>89007266.370000005</v>
      </c>
      <c r="C175" s="286">
        <f t="shared" si="206"/>
        <v>62994158.119999997</v>
      </c>
      <c r="D175" s="286">
        <f t="shared" si="207"/>
        <v>26013108.25</v>
      </c>
      <c r="E175" s="286">
        <f>'Расчет по лизингу'!E173</f>
        <v>3902666.38</v>
      </c>
      <c r="F175" s="304">
        <f t="shared" si="209"/>
        <v>20</v>
      </c>
      <c r="G175" s="288">
        <f t="shared" si="200"/>
        <v>780533.28</v>
      </c>
      <c r="H175" s="289">
        <f t="shared" si="201"/>
        <v>4683199.66</v>
      </c>
      <c r="I175" s="289">
        <v>0</v>
      </c>
      <c r="J175" s="290" t="str">
        <f t="shared" si="203"/>
        <v>-</v>
      </c>
      <c r="K175" s="289">
        <f t="shared" si="204"/>
        <v>89007266.370000005</v>
      </c>
      <c r="L175" s="289">
        <f>SUM(I177:I188)</f>
        <v>62994158.119999997</v>
      </c>
      <c r="M175" s="289">
        <f t="shared" si="205"/>
        <v>26013108.25</v>
      </c>
      <c r="N175" s="289">
        <v>0</v>
      </c>
    </row>
    <row r="176" spans="1:14" s="306" customFormat="1" ht="19.5" thickBot="1" x14ac:dyDescent="0.35">
      <c r="A176" s="291">
        <f>A163+1</f>
        <v>2031</v>
      </c>
      <c r="B176" s="292">
        <f>B164</f>
        <v>144359051.56</v>
      </c>
      <c r="C176" s="292">
        <f t="shared" ref="C176:D176" si="212">C164</f>
        <v>55351785.189999998</v>
      </c>
      <c r="D176" s="292">
        <f t="shared" si="212"/>
        <v>89007266.370000005</v>
      </c>
      <c r="E176" s="292">
        <f t="shared" ref="E176" si="213">SUM(E164:E175)</f>
        <v>46831996.119999997</v>
      </c>
      <c r="F176" s="305">
        <f t="shared" si="209"/>
        <v>20</v>
      </c>
      <c r="G176" s="294">
        <f t="shared" ref="G176:I176" si="214">SUM(G164:G175)</f>
        <v>9366399.25</v>
      </c>
      <c r="H176" s="295">
        <f t="shared" si="214"/>
        <v>56198395.369999997</v>
      </c>
      <c r="I176" s="295">
        <f t="shared" si="214"/>
        <v>55351785.189999998</v>
      </c>
      <c r="J176" s="296"/>
      <c r="K176" s="295">
        <f t="shared" ref="K176:N176" si="215">K175</f>
        <v>89007266.370000005</v>
      </c>
      <c r="L176" s="295">
        <f t="shared" si="215"/>
        <v>62994158.119999997</v>
      </c>
      <c r="M176" s="295">
        <f t="shared" si="215"/>
        <v>26013108.25</v>
      </c>
      <c r="N176" s="295">
        <f t="shared" si="215"/>
        <v>0</v>
      </c>
    </row>
    <row r="177" spans="1:14" x14ac:dyDescent="0.3">
      <c r="A177" s="279">
        <v>11689</v>
      </c>
      <c r="B177" s="280">
        <f t="shared" ref="B177:B188" si="216">K176</f>
        <v>89007266.370000005</v>
      </c>
      <c r="C177" s="280">
        <f>L175</f>
        <v>62994158.119999997</v>
      </c>
      <c r="D177" s="280">
        <f>B177-C177</f>
        <v>26013108.25</v>
      </c>
      <c r="E177" s="280">
        <f>'Расчет по лизингу'!E175</f>
        <v>4531903.63</v>
      </c>
      <c r="F177" s="297">
        <f t="shared" si="209"/>
        <v>20</v>
      </c>
      <c r="G177" s="282">
        <f t="shared" ref="G177:G188" si="217">E177*F177/100</f>
        <v>906380.73</v>
      </c>
      <c r="H177" s="283">
        <f t="shared" ref="H177:H188" si="218">G177+E177</f>
        <v>5438284.3600000003</v>
      </c>
      <c r="I177" s="283">
        <f t="shared" ref="I177" si="219">SUM(H173:H175)</f>
        <v>14049598.880000001</v>
      </c>
      <c r="J177" s="284">
        <f t="shared" ref="J177:J188" si="220">IF(I177=0,"-",A177+19)</f>
        <v>11708</v>
      </c>
      <c r="K177" s="283">
        <f t="shared" ref="K177:K188" si="221">B177-I177</f>
        <v>74957667.489999995</v>
      </c>
      <c r="L177" s="283">
        <f>SUM(I178:I188,I190)</f>
        <v>65259412.340000004</v>
      </c>
      <c r="M177" s="283">
        <f>K177-L177</f>
        <v>9698255.1500000004</v>
      </c>
      <c r="N177" s="283">
        <v>0</v>
      </c>
    </row>
    <row r="178" spans="1:14" x14ac:dyDescent="0.3">
      <c r="A178" s="298">
        <v>11720</v>
      </c>
      <c r="B178" s="299">
        <f t="shared" si="216"/>
        <v>74957667.489999995</v>
      </c>
      <c r="C178" s="299">
        <f>L177</f>
        <v>65259412.340000004</v>
      </c>
      <c r="D178" s="299">
        <f>B178-C178</f>
        <v>9698255.1500000004</v>
      </c>
      <c r="E178" s="299">
        <f>'Расчет по лизингу'!E176</f>
        <v>4531903.63</v>
      </c>
      <c r="F178" s="300">
        <f t="shared" si="209"/>
        <v>20</v>
      </c>
      <c r="G178" s="301">
        <f t="shared" si="217"/>
        <v>906380.73</v>
      </c>
      <c r="H178" s="302">
        <f t="shared" si="218"/>
        <v>5438284.3600000003</v>
      </c>
      <c r="I178" s="302">
        <v>0</v>
      </c>
      <c r="J178" s="303" t="str">
        <f t="shared" si="220"/>
        <v>-</v>
      </c>
      <c r="K178" s="302">
        <f t="shared" si="221"/>
        <v>74957667.489999995</v>
      </c>
      <c r="L178" s="302">
        <f>SUM(I179:I188,I190:I191)</f>
        <v>65259412.340000004</v>
      </c>
      <c r="M178" s="302">
        <f t="shared" ref="M178:M188" si="222">K178-L178</f>
        <v>9698255.1500000004</v>
      </c>
      <c r="N178" s="302">
        <v>0</v>
      </c>
    </row>
    <row r="179" spans="1:14" x14ac:dyDescent="0.3">
      <c r="A179" s="298">
        <v>11749</v>
      </c>
      <c r="B179" s="299">
        <f t="shared" si="216"/>
        <v>74957667.489999995</v>
      </c>
      <c r="C179" s="299">
        <f t="shared" ref="C179:C188" si="223">L178</f>
        <v>65259412.340000004</v>
      </c>
      <c r="D179" s="299">
        <f t="shared" ref="D179:D188" si="224">B179-C179</f>
        <v>9698255.1500000004</v>
      </c>
      <c r="E179" s="299">
        <f>'Расчет по лизингу'!E177</f>
        <v>4531903.63</v>
      </c>
      <c r="F179" s="300">
        <f t="shared" si="209"/>
        <v>20</v>
      </c>
      <c r="G179" s="301">
        <f t="shared" si="217"/>
        <v>906380.73</v>
      </c>
      <c r="H179" s="302">
        <f t="shared" si="218"/>
        <v>5438284.3600000003</v>
      </c>
      <c r="I179" s="302">
        <v>0</v>
      </c>
      <c r="J179" s="303" t="str">
        <f t="shared" si="220"/>
        <v>-</v>
      </c>
      <c r="K179" s="302">
        <f t="shared" si="221"/>
        <v>74957667.489999995</v>
      </c>
      <c r="L179" s="302">
        <f>SUM(I180:I188,I190:I192)</f>
        <v>65259412.340000004</v>
      </c>
      <c r="M179" s="302">
        <f t="shared" si="222"/>
        <v>9698255.1500000004</v>
      </c>
      <c r="N179" s="302">
        <v>0</v>
      </c>
    </row>
    <row r="180" spans="1:14" x14ac:dyDescent="0.3">
      <c r="A180" s="298">
        <v>11780</v>
      </c>
      <c r="B180" s="299">
        <f t="shared" si="216"/>
        <v>74957667.489999995</v>
      </c>
      <c r="C180" s="299">
        <f t="shared" si="223"/>
        <v>65259412.340000004</v>
      </c>
      <c r="D180" s="299">
        <f t="shared" si="224"/>
        <v>9698255.1500000004</v>
      </c>
      <c r="E180" s="299">
        <f>'Расчет по лизингу'!E178</f>
        <v>4531903.63</v>
      </c>
      <c r="F180" s="300">
        <f t="shared" si="209"/>
        <v>20</v>
      </c>
      <c r="G180" s="301">
        <f t="shared" si="217"/>
        <v>906380.73</v>
      </c>
      <c r="H180" s="302">
        <f t="shared" si="218"/>
        <v>5438284.3600000003</v>
      </c>
      <c r="I180" s="302">
        <f t="shared" ref="I180" si="225">SUM(H177:H179)</f>
        <v>16314853.08</v>
      </c>
      <c r="J180" s="303">
        <f t="shared" si="220"/>
        <v>11799</v>
      </c>
      <c r="K180" s="302">
        <f t="shared" si="221"/>
        <v>58642814.409999996</v>
      </c>
      <c r="L180" s="302">
        <f>SUM(I181:I188,I190:I193)</f>
        <v>51854035.909999996</v>
      </c>
      <c r="M180" s="302">
        <f t="shared" si="222"/>
        <v>6788778.5</v>
      </c>
      <c r="N180" s="302">
        <v>0</v>
      </c>
    </row>
    <row r="181" spans="1:14" x14ac:dyDescent="0.3">
      <c r="A181" s="298">
        <v>11810</v>
      </c>
      <c r="B181" s="299">
        <f t="shared" si="216"/>
        <v>58642814.409999996</v>
      </c>
      <c r="C181" s="299">
        <f t="shared" si="223"/>
        <v>51854035.909999996</v>
      </c>
      <c r="D181" s="299">
        <f t="shared" si="224"/>
        <v>6788778.5</v>
      </c>
      <c r="E181" s="299">
        <f>'Расчет по лизингу'!E179</f>
        <v>4531903.63</v>
      </c>
      <c r="F181" s="300">
        <f t="shared" ref="F181:F193" si="226">F180</f>
        <v>20</v>
      </c>
      <c r="G181" s="301">
        <f t="shared" si="217"/>
        <v>906380.73</v>
      </c>
      <c r="H181" s="302">
        <f t="shared" si="218"/>
        <v>5438284.3600000003</v>
      </c>
      <c r="I181" s="302">
        <v>0</v>
      </c>
      <c r="J181" s="303" t="str">
        <f t="shared" si="220"/>
        <v>-</v>
      </c>
      <c r="K181" s="302">
        <f t="shared" si="221"/>
        <v>58642814.409999996</v>
      </c>
      <c r="L181" s="302">
        <f>SUM(I182:I188,I190:I194)</f>
        <v>51854035.909999996</v>
      </c>
      <c r="M181" s="302">
        <f t="shared" si="222"/>
        <v>6788778.5</v>
      </c>
      <c r="N181" s="302">
        <v>0</v>
      </c>
    </row>
    <row r="182" spans="1:14" x14ac:dyDescent="0.3">
      <c r="A182" s="298">
        <v>11841</v>
      </c>
      <c r="B182" s="299">
        <f t="shared" si="216"/>
        <v>58642814.409999996</v>
      </c>
      <c r="C182" s="299">
        <f t="shared" si="223"/>
        <v>51854035.909999996</v>
      </c>
      <c r="D182" s="299">
        <f t="shared" si="224"/>
        <v>6788778.5</v>
      </c>
      <c r="E182" s="299">
        <f>'Расчет по лизингу'!E180</f>
        <v>4531903.63</v>
      </c>
      <c r="F182" s="300">
        <f t="shared" si="226"/>
        <v>20</v>
      </c>
      <c r="G182" s="301">
        <f t="shared" si="217"/>
        <v>906380.73</v>
      </c>
      <c r="H182" s="302">
        <f t="shared" si="218"/>
        <v>5438284.3600000003</v>
      </c>
      <c r="I182" s="302">
        <v>0</v>
      </c>
      <c r="J182" s="303" t="str">
        <f t="shared" si="220"/>
        <v>-</v>
      </c>
      <c r="K182" s="302">
        <f t="shared" si="221"/>
        <v>58642814.409999996</v>
      </c>
      <c r="L182" s="302">
        <f>SUM(I183:I188,I190:I195)</f>
        <v>51854035.909999996</v>
      </c>
      <c r="M182" s="302">
        <f t="shared" si="222"/>
        <v>6788778.5</v>
      </c>
      <c r="N182" s="302">
        <v>0</v>
      </c>
    </row>
    <row r="183" spans="1:14" x14ac:dyDescent="0.3">
      <c r="A183" s="298">
        <v>11871</v>
      </c>
      <c r="B183" s="299">
        <f t="shared" si="216"/>
        <v>58642814.409999996</v>
      </c>
      <c r="C183" s="299">
        <f t="shared" si="223"/>
        <v>51854035.909999996</v>
      </c>
      <c r="D183" s="299">
        <f t="shared" si="224"/>
        <v>6788778.5</v>
      </c>
      <c r="E183" s="299">
        <f>'Расчет по лизингу'!E181</f>
        <v>4531903.63</v>
      </c>
      <c r="F183" s="300">
        <f t="shared" si="226"/>
        <v>20</v>
      </c>
      <c r="G183" s="301">
        <f t="shared" si="217"/>
        <v>906380.73</v>
      </c>
      <c r="H183" s="302">
        <f t="shared" si="218"/>
        <v>5438284.3600000003</v>
      </c>
      <c r="I183" s="302">
        <f t="shared" ref="I183" si="227">SUM(H180:H182)</f>
        <v>16314853.08</v>
      </c>
      <c r="J183" s="303">
        <f t="shared" si="220"/>
        <v>11890</v>
      </c>
      <c r="K183" s="302">
        <f t="shared" si="221"/>
        <v>42327961.329999998</v>
      </c>
      <c r="L183" s="302">
        <f>SUM(I184:I188,I190:I196)</f>
        <v>38448659.479999997</v>
      </c>
      <c r="M183" s="302">
        <f t="shared" si="222"/>
        <v>3879301.85</v>
      </c>
      <c r="N183" s="302">
        <v>0</v>
      </c>
    </row>
    <row r="184" spans="1:14" x14ac:dyDescent="0.3">
      <c r="A184" s="298">
        <v>11902</v>
      </c>
      <c r="B184" s="299">
        <f t="shared" si="216"/>
        <v>42327961.329999998</v>
      </c>
      <c r="C184" s="299">
        <f t="shared" si="223"/>
        <v>38448659.479999997</v>
      </c>
      <c r="D184" s="299">
        <f t="shared" si="224"/>
        <v>3879301.85</v>
      </c>
      <c r="E184" s="299">
        <f>'Расчет по лизингу'!E182</f>
        <v>4531903.63</v>
      </c>
      <c r="F184" s="300">
        <f t="shared" si="226"/>
        <v>20</v>
      </c>
      <c r="G184" s="301">
        <f t="shared" si="217"/>
        <v>906380.73</v>
      </c>
      <c r="H184" s="302">
        <f t="shared" si="218"/>
        <v>5438284.3600000003</v>
      </c>
      <c r="I184" s="302">
        <v>0</v>
      </c>
      <c r="J184" s="303" t="str">
        <f t="shared" si="220"/>
        <v>-</v>
      </c>
      <c r="K184" s="302">
        <f t="shared" si="221"/>
        <v>42327961.329999998</v>
      </c>
      <c r="L184" s="302">
        <f>SUM(I185:I188,I190:I197)</f>
        <v>38448659.479999997</v>
      </c>
      <c r="M184" s="302">
        <f t="shared" si="222"/>
        <v>3879301.85</v>
      </c>
      <c r="N184" s="302">
        <v>0</v>
      </c>
    </row>
    <row r="185" spans="1:14" x14ac:dyDescent="0.3">
      <c r="A185" s="298">
        <v>11933</v>
      </c>
      <c r="B185" s="299">
        <f t="shared" si="216"/>
        <v>42327961.329999998</v>
      </c>
      <c r="C185" s="299">
        <f t="shared" si="223"/>
        <v>38448659.479999997</v>
      </c>
      <c r="D185" s="299">
        <f t="shared" si="224"/>
        <v>3879301.85</v>
      </c>
      <c r="E185" s="299">
        <f>'Расчет по лизингу'!E183</f>
        <v>4531903.63</v>
      </c>
      <c r="F185" s="300">
        <f t="shared" si="226"/>
        <v>20</v>
      </c>
      <c r="G185" s="301">
        <f t="shared" si="217"/>
        <v>906380.73</v>
      </c>
      <c r="H185" s="302">
        <f t="shared" si="218"/>
        <v>5438284.3600000003</v>
      </c>
      <c r="I185" s="302">
        <v>0</v>
      </c>
      <c r="J185" s="303" t="str">
        <f t="shared" si="220"/>
        <v>-</v>
      </c>
      <c r="K185" s="302">
        <f t="shared" si="221"/>
        <v>42327961.329999998</v>
      </c>
      <c r="L185" s="302">
        <f>SUM(I186:I188,I190:I198)</f>
        <v>38448659.479999997</v>
      </c>
      <c r="M185" s="302">
        <f t="shared" si="222"/>
        <v>3879301.85</v>
      </c>
      <c r="N185" s="302">
        <v>0</v>
      </c>
    </row>
    <row r="186" spans="1:14" x14ac:dyDescent="0.3">
      <c r="A186" s="298">
        <v>11963</v>
      </c>
      <c r="B186" s="299">
        <f t="shared" si="216"/>
        <v>42327961.329999998</v>
      </c>
      <c r="C186" s="299">
        <f t="shared" si="223"/>
        <v>38448659.479999997</v>
      </c>
      <c r="D186" s="299">
        <f t="shared" si="224"/>
        <v>3879301.85</v>
      </c>
      <c r="E186" s="299">
        <f>'Расчет по лизингу'!E184</f>
        <v>4531903.63</v>
      </c>
      <c r="F186" s="300">
        <f t="shared" si="226"/>
        <v>20</v>
      </c>
      <c r="G186" s="301">
        <f t="shared" si="217"/>
        <v>906380.73</v>
      </c>
      <c r="H186" s="302">
        <f t="shared" si="218"/>
        <v>5438284.3600000003</v>
      </c>
      <c r="I186" s="302">
        <f t="shared" ref="I186" si="228">SUM(H183:H185)</f>
        <v>16314853.08</v>
      </c>
      <c r="J186" s="303">
        <f t="shared" si="220"/>
        <v>11982</v>
      </c>
      <c r="K186" s="302">
        <f t="shared" si="221"/>
        <v>26013108.25</v>
      </c>
      <c r="L186" s="302">
        <f>SUM(I187:I188,I190:I199)</f>
        <v>25043283.050000001</v>
      </c>
      <c r="M186" s="302">
        <f t="shared" si="222"/>
        <v>969825.2</v>
      </c>
      <c r="N186" s="302">
        <v>0</v>
      </c>
    </row>
    <row r="187" spans="1:14" x14ac:dyDescent="0.3">
      <c r="A187" s="298">
        <v>11994</v>
      </c>
      <c r="B187" s="299">
        <f t="shared" si="216"/>
        <v>26013108.25</v>
      </c>
      <c r="C187" s="299">
        <f t="shared" si="223"/>
        <v>25043283.050000001</v>
      </c>
      <c r="D187" s="299">
        <f t="shared" si="224"/>
        <v>969825.2</v>
      </c>
      <c r="E187" s="299">
        <f>'Расчет по лизингу'!E185</f>
        <v>4531903.63</v>
      </c>
      <c r="F187" s="300">
        <f t="shared" si="226"/>
        <v>20</v>
      </c>
      <c r="G187" s="301">
        <f t="shared" si="217"/>
        <v>906380.73</v>
      </c>
      <c r="H187" s="302">
        <f t="shared" si="218"/>
        <v>5438284.3600000003</v>
      </c>
      <c r="I187" s="302">
        <v>0</v>
      </c>
      <c r="J187" s="303" t="str">
        <f t="shared" si="220"/>
        <v>-</v>
      </c>
      <c r="K187" s="302">
        <f t="shared" si="221"/>
        <v>26013108.25</v>
      </c>
      <c r="L187" s="302">
        <f>SUM(I188,I190:I200)</f>
        <v>25043283.050000001</v>
      </c>
      <c r="M187" s="302">
        <f t="shared" si="222"/>
        <v>969825.2</v>
      </c>
      <c r="N187" s="302">
        <v>0</v>
      </c>
    </row>
    <row r="188" spans="1:14" ht="19.5" thickBot="1" x14ac:dyDescent="0.35">
      <c r="A188" s="285">
        <v>12024</v>
      </c>
      <c r="B188" s="286">
        <f t="shared" si="216"/>
        <v>26013108.25</v>
      </c>
      <c r="C188" s="286">
        <f t="shared" si="223"/>
        <v>25043283.050000001</v>
      </c>
      <c r="D188" s="286">
        <f t="shared" si="224"/>
        <v>969825.2</v>
      </c>
      <c r="E188" s="286">
        <f>'Расчет по лизингу'!E186</f>
        <v>4531903.6500000004</v>
      </c>
      <c r="F188" s="304">
        <f t="shared" si="226"/>
        <v>20</v>
      </c>
      <c r="G188" s="288">
        <f t="shared" si="217"/>
        <v>906380.73</v>
      </c>
      <c r="H188" s="289">
        <f t="shared" si="218"/>
        <v>5438284.3799999999</v>
      </c>
      <c r="I188" s="289">
        <v>0</v>
      </c>
      <c r="J188" s="290" t="str">
        <f t="shared" si="220"/>
        <v>-</v>
      </c>
      <c r="K188" s="289">
        <f t="shared" si="221"/>
        <v>26013108.25</v>
      </c>
      <c r="L188" s="289">
        <f>SUM(I190:I201)</f>
        <v>25043283.050000001</v>
      </c>
      <c r="M188" s="289">
        <f t="shared" si="222"/>
        <v>969825.2</v>
      </c>
      <c r="N188" s="289">
        <v>0</v>
      </c>
    </row>
    <row r="189" spans="1:14" s="306" customFormat="1" ht="19.5" thickBot="1" x14ac:dyDescent="0.35">
      <c r="A189" s="291">
        <f>A176+1</f>
        <v>2032</v>
      </c>
      <c r="B189" s="292">
        <f>B177</f>
        <v>89007266.370000005</v>
      </c>
      <c r="C189" s="292">
        <f t="shared" ref="C189:D189" si="229">C177</f>
        <v>62994158.119999997</v>
      </c>
      <c r="D189" s="292">
        <f t="shared" si="229"/>
        <v>26013108.25</v>
      </c>
      <c r="E189" s="292">
        <f t="shared" ref="E189" si="230">SUM(E177:E188)</f>
        <v>54382843.579999998</v>
      </c>
      <c r="F189" s="305">
        <f t="shared" si="226"/>
        <v>20</v>
      </c>
      <c r="G189" s="294">
        <f t="shared" ref="G189:I189" si="231">SUM(G177:G188)</f>
        <v>10876568.76</v>
      </c>
      <c r="H189" s="295">
        <f t="shared" si="231"/>
        <v>65259412.340000004</v>
      </c>
      <c r="I189" s="295">
        <f t="shared" si="231"/>
        <v>62994158.119999997</v>
      </c>
      <c r="J189" s="296"/>
      <c r="K189" s="295">
        <f t="shared" ref="K189:N189" si="232">K188</f>
        <v>26013108.25</v>
      </c>
      <c r="L189" s="295">
        <f t="shared" si="232"/>
        <v>25043283.050000001</v>
      </c>
      <c r="M189" s="295">
        <f t="shared" si="232"/>
        <v>969825.2</v>
      </c>
      <c r="N189" s="295">
        <f t="shared" si="232"/>
        <v>0</v>
      </c>
    </row>
    <row r="190" spans="1:14" x14ac:dyDescent="0.3">
      <c r="A190" s="298">
        <v>12055</v>
      </c>
      <c r="B190" s="280">
        <f t="shared" ref="B190:B201" si="233">K189</f>
        <v>26013108.25</v>
      </c>
      <c r="C190" s="280">
        <f>L188</f>
        <v>25043283.050000001</v>
      </c>
      <c r="D190" s="280">
        <f>B190-C190</f>
        <v>969825.2</v>
      </c>
      <c r="E190" s="299">
        <f>'Расчет по лизингу'!E188</f>
        <v>808187.96</v>
      </c>
      <c r="F190" s="297">
        <f t="shared" si="226"/>
        <v>20</v>
      </c>
      <c r="G190" s="282">
        <f t="shared" ref="G190:G201" si="234">E190*F190/100</f>
        <v>161637.59</v>
      </c>
      <c r="H190" s="283">
        <f t="shared" ref="H190:H201" si="235">G190+E190</f>
        <v>969825.55</v>
      </c>
      <c r="I190" s="283">
        <f t="shared" ref="I190" si="236">SUM(H186:H188)</f>
        <v>16314853.1</v>
      </c>
      <c r="J190" s="284">
        <f t="shared" ref="J190:J201" si="237">IF(I190=0,"-",A190+19)</f>
        <v>12074</v>
      </c>
      <c r="K190" s="283">
        <f t="shared" ref="K190:K201" si="238">B190-I190</f>
        <v>9698255.1500000004</v>
      </c>
      <c r="L190" s="283">
        <f>SUM(I191:I201,I203)</f>
        <v>9698255.1500000004</v>
      </c>
      <c r="M190" s="283">
        <f>K190-L190</f>
        <v>0</v>
      </c>
      <c r="N190" s="283">
        <v>0</v>
      </c>
    </row>
    <row r="191" spans="1:14" x14ac:dyDescent="0.3">
      <c r="A191" s="298">
        <v>12086</v>
      </c>
      <c r="B191" s="299">
        <f t="shared" si="233"/>
        <v>9698255.1500000004</v>
      </c>
      <c r="C191" s="299">
        <f>L190</f>
        <v>9698255.1500000004</v>
      </c>
      <c r="D191" s="299">
        <f>B191-C191</f>
        <v>0</v>
      </c>
      <c r="E191" s="299">
        <f>'Расчет по лизингу'!E189</f>
        <v>808187.96</v>
      </c>
      <c r="F191" s="300">
        <f t="shared" si="226"/>
        <v>20</v>
      </c>
      <c r="G191" s="301">
        <f t="shared" si="234"/>
        <v>161637.59</v>
      </c>
      <c r="H191" s="302">
        <f t="shared" si="235"/>
        <v>969825.55</v>
      </c>
      <c r="I191" s="302">
        <v>0</v>
      </c>
      <c r="J191" s="303" t="str">
        <f t="shared" si="237"/>
        <v>-</v>
      </c>
      <c r="K191" s="302">
        <f t="shared" si="238"/>
        <v>9698255.1500000004</v>
      </c>
      <c r="L191" s="302">
        <f>K191</f>
        <v>9698255.1500000004</v>
      </c>
      <c r="M191" s="302">
        <f>M190</f>
        <v>0</v>
      </c>
      <c r="N191" s="302">
        <v>0</v>
      </c>
    </row>
    <row r="192" spans="1:14" x14ac:dyDescent="0.3">
      <c r="A192" s="298">
        <v>12114</v>
      </c>
      <c r="B192" s="299">
        <f t="shared" si="233"/>
        <v>9698255.1500000004</v>
      </c>
      <c r="C192" s="299">
        <f t="shared" ref="C192:C201" si="239">L191</f>
        <v>9698255.1500000004</v>
      </c>
      <c r="D192" s="299">
        <f t="shared" ref="D192:D201" si="240">B192-C192</f>
        <v>0</v>
      </c>
      <c r="E192" s="299">
        <f>'Расчет по лизингу'!E190</f>
        <v>808187.96</v>
      </c>
      <c r="F192" s="300">
        <f t="shared" si="226"/>
        <v>20</v>
      </c>
      <c r="G192" s="301">
        <f t="shared" si="234"/>
        <v>161637.59</v>
      </c>
      <c r="H192" s="302">
        <f t="shared" si="235"/>
        <v>969825.55</v>
      </c>
      <c r="I192" s="302">
        <v>0</v>
      </c>
      <c r="J192" s="303" t="str">
        <f t="shared" si="237"/>
        <v>-</v>
      </c>
      <c r="K192" s="302">
        <f t="shared" si="238"/>
        <v>9698255.1500000004</v>
      </c>
      <c r="L192" s="302">
        <f t="shared" ref="L192:L201" si="241">K192</f>
        <v>9698255.1500000004</v>
      </c>
      <c r="M192" s="302">
        <f t="shared" ref="M192:M201" si="242">M191</f>
        <v>0</v>
      </c>
      <c r="N192" s="302">
        <v>0</v>
      </c>
    </row>
    <row r="193" spans="1:14" x14ac:dyDescent="0.3">
      <c r="A193" s="298">
        <v>12145</v>
      </c>
      <c r="B193" s="299">
        <f t="shared" si="233"/>
        <v>9698255.1500000004</v>
      </c>
      <c r="C193" s="299">
        <f t="shared" si="239"/>
        <v>9698255.1500000004</v>
      </c>
      <c r="D193" s="299">
        <f t="shared" si="240"/>
        <v>0</v>
      </c>
      <c r="E193" s="299">
        <f>'Расчет по лизингу'!E191</f>
        <v>808187.96</v>
      </c>
      <c r="F193" s="300">
        <f t="shared" si="226"/>
        <v>20</v>
      </c>
      <c r="G193" s="301">
        <f t="shared" si="234"/>
        <v>161637.59</v>
      </c>
      <c r="H193" s="302">
        <f t="shared" si="235"/>
        <v>969825.55</v>
      </c>
      <c r="I193" s="302">
        <f t="shared" ref="I193" si="243">SUM(H190:H192)</f>
        <v>2909476.65</v>
      </c>
      <c r="J193" s="303">
        <f t="shared" si="237"/>
        <v>12164</v>
      </c>
      <c r="K193" s="302">
        <f t="shared" si="238"/>
        <v>6788778.5</v>
      </c>
      <c r="L193" s="302">
        <f t="shared" si="241"/>
        <v>6788778.5</v>
      </c>
      <c r="M193" s="302">
        <f t="shared" si="242"/>
        <v>0</v>
      </c>
      <c r="N193" s="302">
        <v>0</v>
      </c>
    </row>
    <row r="194" spans="1:14" x14ac:dyDescent="0.3">
      <c r="A194" s="298">
        <v>12175</v>
      </c>
      <c r="B194" s="299">
        <f t="shared" si="233"/>
        <v>6788778.5</v>
      </c>
      <c r="C194" s="299">
        <f t="shared" si="239"/>
        <v>6788778.5</v>
      </c>
      <c r="D194" s="299">
        <f t="shared" si="240"/>
        <v>0</v>
      </c>
      <c r="E194" s="299">
        <f>'Расчет по лизингу'!E192</f>
        <v>808187.96</v>
      </c>
      <c r="F194" s="300">
        <f t="shared" ref="F194:F204" si="244">F193</f>
        <v>20</v>
      </c>
      <c r="G194" s="301">
        <f t="shared" si="234"/>
        <v>161637.59</v>
      </c>
      <c r="H194" s="302">
        <f t="shared" si="235"/>
        <v>969825.55</v>
      </c>
      <c r="I194" s="302">
        <v>0</v>
      </c>
      <c r="J194" s="303" t="str">
        <f t="shared" si="237"/>
        <v>-</v>
      </c>
      <c r="K194" s="302">
        <f t="shared" si="238"/>
        <v>6788778.5</v>
      </c>
      <c r="L194" s="302">
        <f t="shared" si="241"/>
        <v>6788778.5</v>
      </c>
      <c r="M194" s="302">
        <f t="shared" si="242"/>
        <v>0</v>
      </c>
      <c r="N194" s="302">
        <v>0</v>
      </c>
    </row>
    <row r="195" spans="1:14" x14ac:dyDescent="0.3">
      <c r="A195" s="298">
        <v>12206</v>
      </c>
      <c r="B195" s="299">
        <f t="shared" si="233"/>
        <v>6788778.5</v>
      </c>
      <c r="C195" s="299">
        <f t="shared" si="239"/>
        <v>6788778.5</v>
      </c>
      <c r="D195" s="299">
        <f t="shared" si="240"/>
        <v>0</v>
      </c>
      <c r="E195" s="299">
        <f>'Расчет по лизингу'!E193</f>
        <v>808187.96</v>
      </c>
      <c r="F195" s="300">
        <f t="shared" si="244"/>
        <v>20</v>
      </c>
      <c r="G195" s="301">
        <f t="shared" si="234"/>
        <v>161637.59</v>
      </c>
      <c r="H195" s="302">
        <f t="shared" si="235"/>
        <v>969825.55</v>
      </c>
      <c r="I195" s="302">
        <v>0</v>
      </c>
      <c r="J195" s="303" t="str">
        <f t="shared" si="237"/>
        <v>-</v>
      </c>
      <c r="K195" s="302">
        <f t="shared" si="238"/>
        <v>6788778.5</v>
      </c>
      <c r="L195" s="302">
        <f t="shared" si="241"/>
        <v>6788778.5</v>
      </c>
      <c r="M195" s="302">
        <f t="shared" si="242"/>
        <v>0</v>
      </c>
      <c r="N195" s="302">
        <v>0</v>
      </c>
    </row>
    <row r="196" spans="1:14" x14ac:dyDescent="0.3">
      <c r="A196" s="298">
        <v>12236</v>
      </c>
      <c r="B196" s="299">
        <f t="shared" si="233"/>
        <v>6788778.5</v>
      </c>
      <c r="C196" s="299">
        <f t="shared" si="239"/>
        <v>6788778.5</v>
      </c>
      <c r="D196" s="299">
        <f t="shared" si="240"/>
        <v>0</v>
      </c>
      <c r="E196" s="299">
        <f>'Расчет по лизингу'!E194</f>
        <v>808187.96</v>
      </c>
      <c r="F196" s="300">
        <f t="shared" si="244"/>
        <v>20</v>
      </c>
      <c r="G196" s="301">
        <f t="shared" si="234"/>
        <v>161637.59</v>
      </c>
      <c r="H196" s="302">
        <f t="shared" si="235"/>
        <v>969825.55</v>
      </c>
      <c r="I196" s="302">
        <f t="shared" ref="I196" si="245">SUM(H193:H195)</f>
        <v>2909476.65</v>
      </c>
      <c r="J196" s="303">
        <f t="shared" si="237"/>
        <v>12255</v>
      </c>
      <c r="K196" s="302">
        <f t="shared" si="238"/>
        <v>3879301.85</v>
      </c>
      <c r="L196" s="302">
        <f t="shared" si="241"/>
        <v>3879301.85</v>
      </c>
      <c r="M196" s="302">
        <f t="shared" si="242"/>
        <v>0</v>
      </c>
      <c r="N196" s="302">
        <v>0</v>
      </c>
    </row>
    <row r="197" spans="1:14" x14ac:dyDescent="0.3">
      <c r="A197" s="298">
        <v>12267</v>
      </c>
      <c r="B197" s="299">
        <f t="shared" si="233"/>
        <v>3879301.85</v>
      </c>
      <c r="C197" s="299">
        <f t="shared" si="239"/>
        <v>3879301.85</v>
      </c>
      <c r="D197" s="299">
        <f t="shared" si="240"/>
        <v>0</v>
      </c>
      <c r="E197" s="299">
        <f>'Расчет по лизингу'!E195</f>
        <v>808187.96</v>
      </c>
      <c r="F197" s="300">
        <f t="shared" si="244"/>
        <v>20</v>
      </c>
      <c r="G197" s="301">
        <f t="shared" si="234"/>
        <v>161637.59</v>
      </c>
      <c r="H197" s="302">
        <f t="shared" si="235"/>
        <v>969825.55</v>
      </c>
      <c r="I197" s="302">
        <v>0</v>
      </c>
      <c r="J197" s="303" t="str">
        <f t="shared" si="237"/>
        <v>-</v>
      </c>
      <c r="K197" s="302">
        <f t="shared" si="238"/>
        <v>3879301.85</v>
      </c>
      <c r="L197" s="302">
        <f t="shared" si="241"/>
        <v>3879301.85</v>
      </c>
      <c r="M197" s="302">
        <f t="shared" si="242"/>
        <v>0</v>
      </c>
      <c r="N197" s="302">
        <v>0</v>
      </c>
    </row>
    <row r="198" spans="1:14" x14ac:dyDescent="0.3">
      <c r="A198" s="298">
        <v>12298</v>
      </c>
      <c r="B198" s="299">
        <f t="shared" si="233"/>
        <v>3879301.85</v>
      </c>
      <c r="C198" s="299">
        <f t="shared" si="239"/>
        <v>3879301.85</v>
      </c>
      <c r="D198" s="299">
        <f t="shared" si="240"/>
        <v>0</v>
      </c>
      <c r="E198" s="299">
        <f>'Расчет по лизингу'!E196</f>
        <v>808187.96</v>
      </c>
      <c r="F198" s="300">
        <f t="shared" si="244"/>
        <v>20</v>
      </c>
      <c r="G198" s="301">
        <f t="shared" si="234"/>
        <v>161637.59</v>
      </c>
      <c r="H198" s="302">
        <f t="shared" si="235"/>
        <v>969825.55</v>
      </c>
      <c r="I198" s="302">
        <v>0</v>
      </c>
      <c r="J198" s="303" t="str">
        <f t="shared" si="237"/>
        <v>-</v>
      </c>
      <c r="K198" s="302">
        <f t="shared" si="238"/>
        <v>3879301.85</v>
      </c>
      <c r="L198" s="302">
        <f t="shared" si="241"/>
        <v>3879301.85</v>
      </c>
      <c r="M198" s="302">
        <f t="shared" si="242"/>
        <v>0</v>
      </c>
      <c r="N198" s="302">
        <v>0</v>
      </c>
    </row>
    <row r="199" spans="1:14" x14ac:dyDescent="0.3">
      <c r="A199" s="298">
        <v>12328</v>
      </c>
      <c r="B199" s="299">
        <f t="shared" si="233"/>
        <v>3879301.85</v>
      </c>
      <c r="C199" s="299">
        <f t="shared" si="239"/>
        <v>3879301.85</v>
      </c>
      <c r="D199" s="299">
        <f t="shared" si="240"/>
        <v>0</v>
      </c>
      <c r="E199" s="299">
        <f>'Расчет по лизингу'!E197</f>
        <v>808187.67</v>
      </c>
      <c r="F199" s="300">
        <f t="shared" si="244"/>
        <v>20</v>
      </c>
      <c r="G199" s="301">
        <f t="shared" si="234"/>
        <v>161637.53</v>
      </c>
      <c r="H199" s="302">
        <f t="shared" si="235"/>
        <v>969825.2</v>
      </c>
      <c r="I199" s="302">
        <f t="shared" ref="I199" si="246">SUM(H196:H198)</f>
        <v>2909476.65</v>
      </c>
      <c r="J199" s="303">
        <f t="shared" si="237"/>
        <v>12347</v>
      </c>
      <c r="K199" s="302">
        <f t="shared" si="238"/>
        <v>969825.2</v>
      </c>
      <c r="L199" s="302">
        <f t="shared" si="241"/>
        <v>969825.2</v>
      </c>
      <c r="M199" s="302">
        <f t="shared" si="242"/>
        <v>0</v>
      </c>
      <c r="N199" s="302">
        <v>0</v>
      </c>
    </row>
    <row r="200" spans="1:14" x14ac:dyDescent="0.3">
      <c r="A200" s="298">
        <v>12359</v>
      </c>
      <c r="B200" s="299">
        <f t="shared" si="233"/>
        <v>969825.2</v>
      </c>
      <c r="C200" s="299">
        <f t="shared" si="239"/>
        <v>969825.2</v>
      </c>
      <c r="D200" s="299">
        <f t="shared" si="240"/>
        <v>0</v>
      </c>
      <c r="E200" s="299">
        <f>'Расчет по лизингу'!E198</f>
        <v>0</v>
      </c>
      <c r="F200" s="300">
        <f t="shared" si="244"/>
        <v>20</v>
      </c>
      <c r="G200" s="301">
        <f t="shared" si="234"/>
        <v>0</v>
      </c>
      <c r="H200" s="302">
        <f t="shared" si="235"/>
        <v>0</v>
      </c>
      <c r="I200" s="302">
        <v>0</v>
      </c>
      <c r="J200" s="303" t="str">
        <f t="shared" si="237"/>
        <v>-</v>
      </c>
      <c r="K200" s="302">
        <f t="shared" si="238"/>
        <v>969825.2</v>
      </c>
      <c r="L200" s="302">
        <f t="shared" si="241"/>
        <v>969825.2</v>
      </c>
      <c r="M200" s="302">
        <f t="shared" si="242"/>
        <v>0</v>
      </c>
      <c r="N200" s="302">
        <v>0</v>
      </c>
    </row>
    <row r="201" spans="1:14" ht="19.5" thickBot="1" x14ac:dyDescent="0.35">
      <c r="A201" s="298">
        <v>12389</v>
      </c>
      <c r="B201" s="286">
        <f t="shared" si="233"/>
        <v>969825.2</v>
      </c>
      <c r="C201" s="286">
        <f t="shared" si="239"/>
        <v>969825.2</v>
      </c>
      <c r="D201" s="286">
        <f t="shared" si="240"/>
        <v>0</v>
      </c>
      <c r="E201" s="299">
        <f>'Расчет по лизингу'!E199</f>
        <v>0</v>
      </c>
      <c r="F201" s="304">
        <f t="shared" si="244"/>
        <v>20</v>
      </c>
      <c r="G201" s="288">
        <f t="shared" si="234"/>
        <v>0</v>
      </c>
      <c r="H201" s="289">
        <f t="shared" si="235"/>
        <v>0</v>
      </c>
      <c r="I201" s="289">
        <v>0</v>
      </c>
      <c r="J201" s="290" t="str">
        <f t="shared" si="237"/>
        <v>-</v>
      </c>
      <c r="K201" s="289">
        <f t="shared" si="238"/>
        <v>969825.2</v>
      </c>
      <c r="L201" s="289">
        <f t="shared" si="241"/>
        <v>969825.2</v>
      </c>
      <c r="M201" s="289">
        <f t="shared" si="242"/>
        <v>0</v>
      </c>
      <c r="N201" s="289">
        <v>0</v>
      </c>
    </row>
    <row r="202" spans="1:14" s="306" customFormat="1" ht="19.5" thickBot="1" x14ac:dyDescent="0.35">
      <c r="A202" s="291">
        <f>A189+1</f>
        <v>2033</v>
      </c>
      <c r="B202" s="292">
        <f>B190</f>
        <v>26013108.25</v>
      </c>
      <c r="C202" s="292">
        <f t="shared" ref="C202:D202" si="247">C190</f>
        <v>25043283.050000001</v>
      </c>
      <c r="D202" s="292">
        <f t="shared" si="247"/>
        <v>969825.2</v>
      </c>
      <c r="E202" s="292">
        <f>SUM(E190:E199)</f>
        <v>8081879.3099999996</v>
      </c>
      <c r="F202" s="305">
        <f t="shared" si="244"/>
        <v>20</v>
      </c>
      <c r="G202" s="294">
        <f t="shared" ref="G202:I202" si="248">SUM(G190:G201)</f>
        <v>1616375.84</v>
      </c>
      <c r="H202" s="295">
        <f t="shared" si="248"/>
        <v>9698255.1500000004</v>
      </c>
      <c r="I202" s="295">
        <f t="shared" si="248"/>
        <v>25043283.050000001</v>
      </c>
      <c r="J202" s="296"/>
      <c r="K202" s="295">
        <f t="shared" ref="K202:N202" si="249">K201</f>
        <v>969825.2</v>
      </c>
      <c r="L202" s="295">
        <f t="shared" si="249"/>
        <v>969825.2</v>
      </c>
      <c r="M202" s="295">
        <f t="shared" si="249"/>
        <v>0</v>
      </c>
      <c r="N202" s="295">
        <f t="shared" si="249"/>
        <v>0</v>
      </c>
    </row>
    <row r="203" spans="1:14" ht="19.5" thickBot="1" x14ac:dyDescent="0.35">
      <c r="A203" s="298">
        <v>48945</v>
      </c>
      <c r="B203" s="299">
        <f>K202</f>
        <v>969825.2</v>
      </c>
      <c r="C203" s="299">
        <f>L201</f>
        <v>969825.2</v>
      </c>
      <c r="D203" s="299">
        <f>B203-C203</f>
        <v>0</v>
      </c>
      <c r="E203" s="299">
        <f>'Расчет по лизингу'!E201</f>
        <v>0</v>
      </c>
      <c r="F203" s="300">
        <f t="shared" si="244"/>
        <v>20</v>
      </c>
      <c r="G203" s="301">
        <f>E203*F203/100</f>
        <v>0</v>
      </c>
      <c r="H203" s="302">
        <f>G203+E203</f>
        <v>0</v>
      </c>
      <c r="I203" s="302">
        <f t="shared" ref="I203" si="250">SUM(H199:H201)</f>
        <v>969825.2</v>
      </c>
      <c r="J203" s="303">
        <f>IF(I203=0,"-",A203+19)</f>
        <v>48964</v>
      </c>
      <c r="K203" s="302">
        <f>B203-I203</f>
        <v>0</v>
      </c>
      <c r="L203" s="302">
        <v>0</v>
      </c>
      <c r="M203" s="302">
        <v>0</v>
      </c>
      <c r="N203" s="302">
        <v>0</v>
      </c>
    </row>
    <row r="204" spans="1:14" s="306" customFormat="1" ht="19.5" thickBot="1" x14ac:dyDescent="0.35">
      <c r="A204" s="291">
        <v>2034</v>
      </c>
      <c r="B204" s="292">
        <f>B203</f>
        <v>969825.2</v>
      </c>
      <c r="C204" s="292">
        <f>C203</f>
        <v>969825.2</v>
      </c>
      <c r="D204" s="292">
        <f>D203</f>
        <v>0</v>
      </c>
      <c r="E204" s="292">
        <v>0</v>
      </c>
      <c r="F204" s="305">
        <f t="shared" si="244"/>
        <v>20</v>
      </c>
      <c r="G204" s="294">
        <v>0</v>
      </c>
      <c r="H204" s="295">
        <v>0</v>
      </c>
      <c r="I204" s="295">
        <f>SUM(I203)</f>
        <v>969825.2</v>
      </c>
      <c r="J204" s="296"/>
      <c r="K204" s="295">
        <f t="shared" ref="K204:N204" si="251">K203</f>
        <v>0</v>
      </c>
      <c r="L204" s="295">
        <f t="shared" si="251"/>
        <v>0</v>
      </c>
      <c r="M204" s="295">
        <f t="shared" si="251"/>
        <v>0</v>
      </c>
      <c r="N204" s="295">
        <f t="shared" si="251"/>
        <v>0</v>
      </c>
    </row>
    <row r="205" spans="1:14" ht="19.5" thickBot="1" x14ac:dyDescent="0.35">
      <c r="A205" s="291" t="s">
        <v>7</v>
      </c>
      <c r="B205" s="292">
        <f>B5</f>
        <v>567660076.13</v>
      </c>
      <c r="C205" s="292">
        <f t="shared" ref="C205:D205" si="252">C5</f>
        <v>18398336.66</v>
      </c>
      <c r="D205" s="292">
        <f t="shared" si="252"/>
        <v>549261739.47000003</v>
      </c>
      <c r="E205" s="292">
        <f>E202+E189+E176+E163+E150+E137+E124+E111+E98+E85+E72+E59+E46+E33+E20+E7+E204</f>
        <v>473088958.47000003</v>
      </c>
      <c r="F205" s="293">
        <f>G205/E205*100</f>
        <v>19.989999999999998</v>
      </c>
      <c r="G205" s="294">
        <f t="shared" ref="G205:H205" si="253">G202+G189+G176+G163+G150+G137+G124+G111+G98+G85+G72+G59+G46+G33+G20+G7+G204</f>
        <v>94571117.659999996</v>
      </c>
      <c r="H205" s="295">
        <f t="shared" si="253"/>
        <v>567660076.13</v>
      </c>
      <c r="I205" s="295">
        <f>I202+I189+I176+I163+I150+I137+I124+I111+I98+I85+I72+I59+I46+I33+I20+I7+I204</f>
        <v>567660076.13</v>
      </c>
      <c r="J205" s="296"/>
      <c r="K205" s="295">
        <f>B205-I205</f>
        <v>0</v>
      </c>
      <c r="L205" s="295">
        <v>0</v>
      </c>
      <c r="M205" s="295">
        <f>L205</f>
        <v>0</v>
      </c>
      <c r="N205" s="295">
        <v>0</v>
      </c>
    </row>
    <row r="206" spans="1:14" hidden="1" x14ac:dyDescent="0.3">
      <c r="E206" s="254">
        <f>Лист2!E5</f>
        <v>435359041.52999997</v>
      </c>
    </row>
    <row r="207" spans="1:14" hidden="1" x14ac:dyDescent="0.3">
      <c r="E207" s="254">
        <f>E205-E206</f>
        <v>37729916.939999998</v>
      </c>
    </row>
    <row r="212" spans="1:14" x14ac:dyDescent="0.3">
      <c r="A212" s="250" t="s">
        <v>52</v>
      </c>
      <c r="N212" s="356" t="s">
        <v>53</v>
      </c>
    </row>
  </sheetData>
  <mergeCells count="7">
    <mergeCell ref="N3:N4"/>
    <mergeCell ref="A3:A4"/>
    <mergeCell ref="B3:D3"/>
    <mergeCell ref="E3:H3"/>
    <mergeCell ref="I3:I4"/>
    <mergeCell ref="K3:M3"/>
    <mergeCell ref="J3:J4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5E55B-1A4C-44EA-AB8E-9119A4658E06}">
  <sheetPr>
    <tabColor rgb="FF92D050"/>
    <pageSetUpPr fitToPage="1"/>
  </sheetPr>
  <dimension ref="A1:O216"/>
  <sheetViews>
    <sheetView tabSelected="1" view="pageBreakPreview" zoomScale="60" zoomScaleNormal="100" workbookViewId="0">
      <pane xSplit="1" ySplit="5" topLeftCell="B189" activePane="bottomRight" state="frozen"/>
      <selection activeCell="H7" sqref="H7:H9"/>
      <selection pane="topRight" activeCell="H7" sqref="H7:H9"/>
      <selection pane="bottomLeft" activeCell="H7" sqref="H7:H9"/>
      <selection pane="bottomRight" activeCell="N1" sqref="N1"/>
    </sheetView>
  </sheetViews>
  <sheetFormatPr defaultColWidth="16.5546875" defaultRowHeight="18.75" x14ac:dyDescent="0.3"/>
  <cols>
    <col min="1" max="1" width="16.5546875" style="253"/>
    <col min="2" max="5" width="16.5546875" style="254"/>
    <col min="6" max="6" width="16.5546875" style="255"/>
    <col min="7" max="9" width="16.5546875" style="254"/>
    <col min="10" max="10" width="18.44140625" style="256" customWidth="1"/>
    <col min="11" max="14" width="16.5546875" style="254"/>
    <col min="15" max="16384" width="16.5546875" style="253"/>
  </cols>
  <sheetData>
    <row r="1" spans="1:15" x14ac:dyDescent="0.3">
      <c r="N1" s="252" t="s">
        <v>160</v>
      </c>
    </row>
    <row r="2" spans="1:15" s="260" customFormat="1" ht="23.25" x14ac:dyDescent="0.35">
      <c r="A2" s="310" t="s">
        <v>165</v>
      </c>
      <c r="B2" s="257"/>
      <c r="C2" s="257"/>
      <c r="D2" s="257"/>
      <c r="E2" s="257"/>
      <c r="F2" s="258"/>
      <c r="G2" s="257"/>
      <c r="H2" s="309"/>
      <c r="I2" s="257"/>
      <c r="J2" s="259"/>
      <c r="K2" s="257"/>
      <c r="L2" s="257"/>
      <c r="M2" s="257"/>
      <c r="N2" s="257"/>
    </row>
    <row r="3" spans="1:15" s="260" customFormat="1" ht="12.75" customHeight="1" thickBot="1" x14ac:dyDescent="0.4">
      <c r="A3" s="310"/>
      <c r="B3" s="257"/>
      <c r="C3" s="257"/>
      <c r="D3" s="257"/>
      <c r="E3" s="257"/>
      <c r="F3" s="258"/>
      <c r="G3" s="257"/>
      <c r="H3" s="309"/>
      <c r="I3" s="257"/>
      <c r="J3" s="259"/>
      <c r="K3" s="257"/>
      <c r="L3" s="257"/>
      <c r="M3" s="257"/>
      <c r="N3" s="257"/>
    </row>
    <row r="4" spans="1:15" s="267" customFormat="1" ht="24" thickBot="1" x14ac:dyDescent="0.4">
      <c r="A4" s="261" t="s">
        <v>0</v>
      </c>
      <c r="B4" s="262" t="s">
        <v>90</v>
      </c>
      <c r="C4" s="263"/>
      <c r="D4" s="264"/>
      <c r="E4" s="262" t="s">
        <v>96</v>
      </c>
      <c r="F4" s="263"/>
      <c r="G4" s="263"/>
      <c r="H4" s="264"/>
      <c r="I4" s="265" t="s">
        <v>91</v>
      </c>
      <c r="J4" s="266" t="s">
        <v>98</v>
      </c>
      <c r="K4" s="262" t="s">
        <v>92</v>
      </c>
      <c r="L4" s="263"/>
      <c r="M4" s="264"/>
      <c r="N4" s="265" t="s">
        <v>97</v>
      </c>
    </row>
    <row r="5" spans="1:15" s="278" customFormat="1" ht="57" thickBot="1" x14ac:dyDescent="0.35">
      <c r="A5" s="268"/>
      <c r="B5" s="269" t="s">
        <v>93</v>
      </c>
      <c r="C5" s="270" t="s">
        <v>94</v>
      </c>
      <c r="D5" s="271" t="s">
        <v>95</v>
      </c>
      <c r="E5" s="272" t="s">
        <v>161</v>
      </c>
      <c r="F5" s="273" t="s">
        <v>162</v>
      </c>
      <c r="G5" s="274" t="s">
        <v>163</v>
      </c>
      <c r="H5" s="275" t="s">
        <v>164</v>
      </c>
      <c r="I5" s="276"/>
      <c r="J5" s="277"/>
      <c r="K5" s="269" t="s">
        <v>93</v>
      </c>
      <c r="L5" s="270" t="s">
        <v>94</v>
      </c>
      <c r="M5" s="271" t="s">
        <v>95</v>
      </c>
      <c r="N5" s="276"/>
    </row>
    <row r="6" spans="1:15" x14ac:dyDescent="0.3">
      <c r="A6" s="279">
        <v>43405</v>
      </c>
      <c r="B6" s="280">
        <f>ВС!B5+ЛП!B5</f>
        <v>1090090926.3199999</v>
      </c>
      <c r="C6" s="280">
        <f>ВС!C5+ЛП!C5</f>
        <v>18398336.66</v>
      </c>
      <c r="D6" s="280">
        <f>ВС!D5+ЛП!D5</f>
        <v>1071692589.66</v>
      </c>
      <c r="E6" s="280">
        <f>ВС!E5+ЛП!E5</f>
        <v>3585516.18</v>
      </c>
      <c r="F6" s="281">
        <f>G6/E6*100</f>
        <v>19.350000000000001</v>
      </c>
      <c r="G6" s="282">
        <f>ВС!G5+ЛП!G5</f>
        <v>693766.14</v>
      </c>
      <c r="H6" s="283">
        <f>ВС!H5+ЛП!H5</f>
        <v>4279282.32</v>
      </c>
      <c r="I6" s="283">
        <f>ВС!I5+ЛП!I5</f>
        <v>0</v>
      </c>
      <c r="J6" s="284" t="str">
        <f>IF(I6=0,"-",A6+19)</f>
        <v>-</v>
      </c>
      <c r="K6" s="283">
        <f>ВС!K5+ЛП!K5</f>
        <v>1090090926.3199999</v>
      </c>
      <c r="L6" s="283">
        <f>ВС!L5+ЛП!L5</f>
        <v>18398336.66</v>
      </c>
      <c r="M6" s="283">
        <f>ВС!M5+ЛП!M5</f>
        <v>1071692589.66</v>
      </c>
      <c r="N6" s="283">
        <f>ВС!N5+ЛП!N5</f>
        <v>0</v>
      </c>
    </row>
    <row r="7" spans="1:15" ht="19.5" thickBot="1" x14ac:dyDescent="0.35">
      <c r="A7" s="285">
        <v>43435</v>
      </c>
      <c r="B7" s="286">
        <f>ВС!B6+ЛП!B6</f>
        <v>1090090926.3199999</v>
      </c>
      <c r="C7" s="286">
        <f>ВС!C6+ЛП!C6</f>
        <v>18398336.66</v>
      </c>
      <c r="D7" s="286">
        <f>ВС!D6+ЛП!D6</f>
        <v>1071692589.66</v>
      </c>
      <c r="E7" s="286">
        <f>ВС!E6+ЛП!E6</f>
        <v>3585516.18</v>
      </c>
      <c r="F7" s="287">
        <f>G7/E7*100</f>
        <v>19.350000000000001</v>
      </c>
      <c r="G7" s="288">
        <f>ВС!G6+ЛП!G6</f>
        <v>693766.14</v>
      </c>
      <c r="H7" s="289">
        <f>ВС!H6+ЛП!H6</f>
        <v>4279282.32</v>
      </c>
      <c r="I7" s="289">
        <f>ВС!I6+ЛП!I6</f>
        <v>0</v>
      </c>
      <c r="J7" s="290" t="str">
        <f>IF(I7=0,"-",A7+19)</f>
        <v>-</v>
      </c>
      <c r="K7" s="289">
        <f>ВС!K6+ЛП!K6</f>
        <v>1090090926.3199999</v>
      </c>
      <c r="L7" s="289">
        <f>ВС!L6+ЛП!L6</f>
        <v>18398336.66</v>
      </c>
      <c r="M7" s="289">
        <f>ВС!M6+ЛП!M6</f>
        <v>1071692589.66</v>
      </c>
      <c r="N7" s="289">
        <f>ВС!N6+ЛП!N6</f>
        <v>0</v>
      </c>
    </row>
    <row r="8" spans="1:15" ht="19.5" thickBot="1" x14ac:dyDescent="0.35">
      <c r="A8" s="291">
        <v>2018</v>
      </c>
      <c r="B8" s="292">
        <f>B6</f>
        <v>1090090926.3199999</v>
      </c>
      <c r="C8" s="292">
        <f t="shared" ref="C8:D8" si="0">C6</f>
        <v>18398336.66</v>
      </c>
      <c r="D8" s="292">
        <f t="shared" si="0"/>
        <v>1071692589.66</v>
      </c>
      <c r="E8" s="292">
        <f>SUM(E6:E7)</f>
        <v>7171032.3600000003</v>
      </c>
      <c r="F8" s="293">
        <f t="shared" ref="F8:F70" si="1">G8/E8*100</f>
        <v>19.350000000000001</v>
      </c>
      <c r="G8" s="294">
        <f t="shared" ref="G8:I8" si="2">SUM(G6:G7)</f>
        <v>1387532.28</v>
      </c>
      <c r="H8" s="295">
        <f t="shared" si="2"/>
        <v>8558564.6400000006</v>
      </c>
      <c r="I8" s="295">
        <f t="shared" si="2"/>
        <v>0</v>
      </c>
      <c r="J8" s="296"/>
      <c r="K8" s="295">
        <f>K7</f>
        <v>1090090926.3199999</v>
      </c>
      <c r="L8" s="295">
        <f t="shared" ref="L8:M8" si="3">L7</f>
        <v>18398336.66</v>
      </c>
      <c r="M8" s="295">
        <f t="shared" si="3"/>
        <v>1071692589.66</v>
      </c>
      <c r="N8" s="295">
        <f t="shared" ref="N8" si="4">SUM(N6:N7)</f>
        <v>0</v>
      </c>
      <c r="O8" s="254"/>
    </row>
    <row r="9" spans="1:15" x14ac:dyDescent="0.3">
      <c r="A9" s="279">
        <v>43466</v>
      </c>
      <c r="B9" s="280">
        <f>ВС!B8+ЛП!B8</f>
        <v>1090090926.3199999</v>
      </c>
      <c r="C9" s="280">
        <f>ВС!C8+ЛП!C8</f>
        <v>18398336.66</v>
      </c>
      <c r="D9" s="280">
        <f>ВС!D8+ЛП!D8</f>
        <v>1071692589.66</v>
      </c>
      <c r="E9" s="280">
        <f>ВС!E8+ЛП!E8</f>
        <v>3867231.64</v>
      </c>
      <c r="F9" s="297">
        <f t="shared" si="1"/>
        <v>20</v>
      </c>
      <c r="G9" s="282">
        <f>ВС!G8+ЛП!G8</f>
        <v>773446.33</v>
      </c>
      <c r="H9" s="307">
        <f>ВС!H8+ЛП!H8</f>
        <v>4640677.97</v>
      </c>
      <c r="I9" s="283">
        <f>ВС!I8+ЛП!I8</f>
        <v>8558564.6400000006</v>
      </c>
      <c r="J9" s="284">
        <f t="shared" ref="J9:J20" si="5">IF(I9=0,"-",A9+19)</f>
        <v>43485</v>
      </c>
      <c r="K9" s="283">
        <f>ВС!K8+ЛП!K8</f>
        <v>1087337148.9000001</v>
      </c>
      <c r="L9" s="283">
        <f>ВС!L8+ЛП!L8</f>
        <v>20859412.300000001</v>
      </c>
      <c r="M9" s="283">
        <f>ВС!M8+ЛП!M8</f>
        <v>1066477736.6</v>
      </c>
      <c r="N9" s="283">
        <f>ВС!N8+ЛП!N8</f>
        <v>5804787.2199999997</v>
      </c>
    </row>
    <row r="10" spans="1:15" x14ac:dyDescent="0.3">
      <c r="A10" s="298">
        <v>43497</v>
      </c>
      <c r="B10" s="299">
        <f>ВС!B9+ЛП!B9</f>
        <v>1087337148.9000001</v>
      </c>
      <c r="C10" s="299">
        <f>ВС!C9+ЛП!C9</f>
        <v>20859412.300000001</v>
      </c>
      <c r="D10" s="299">
        <f>ВС!D9+ЛП!D9</f>
        <v>1066477736.6</v>
      </c>
      <c r="E10" s="299">
        <f>ВС!E9+ЛП!E9</f>
        <v>3867231.64</v>
      </c>
      <c r="F10" s="300">
        <f t="shared" si="1"/>
        <v>20</v>
      </c>
      <c r="G10" s="301">
        <f>ВС!G9+ЛП!G9</f>
        <v>773446.33</v>
      </c>
      <c r="H10" s="308">
        <f>ВС!H9+ЛП!H9</f>
        <v>4640677.97</v>
      </c>
      <c r="I10" s="302">
        <f>ВС!I9+ЛП!I9</f>
        <v>0</v>
      </c>
      <c r="J10" s="303" t="str">
        <f t="shared" si="5"/>
        <v>-</v>
      </c>
      <c r="K10" s="302">
        <f>ВС!K9+ЛП!K9</f>
        <v>1087337148.9000001</v>
      </c>
      <c r="L10" s="302">
        <f>ВС!L9+ЛП!L9</f>
        <v>20859412.300000001</v>
      </c>
      <c r="M10" s="302">
        <f>ВС!M9+ЛП!M9</f>
        <v>1066477736.6</v>
      </c>
      <c r="N10" s="302">
        <f>ВС!N9+ЛП!N9</f>
        <v>5804787.2199999997</v>
      </c>
    </row>
    <row r="11" spans="1:15" x14ac:dyDescent="0.3">
      <c r="A11" s="298">
        <v>43525</v>
      </c>
      <c r="B11" s="299">
        <f>ВС!B10+ЛП!B10</f>
        <v>1087337148.9000001</v>
      </c>
      <c r="C11" s="299">
        <f>ВС!C10+ЛП!C10</f>
        <v>20859412.300000001</v>
      </c>
      <c r="D11" s="299">
        <f>ВС!D10+ЛП!D10</f>
        <v>1066477736.6</v>
      </c>
      <c r="E11" s="299">
        <f>ВС!E10+ЛП!E10</f>
        <v>3867231.64</v>
      </c>
      <c r="F11" s="300">
        <f t="shared" si="1"/>
        <v>20</v>
      </c>
      <c r="G11" s="301">
        <f>ВС!G10+ЛП!G10</f>
        <v>773446.33</v>
      </c>
      <c r="H11" s="308">
        <f>ВС!H10+ЛП!H10</f>
        <v>4640677.97</v>
      </c>
      <c r="I11" s="302">
        <f>ВС!I10+ЛП!I10</f>
        <v>0</v>
      </c>
      <c r="J11" s="303" t="str">
        <f t="shared" si="5"/>
        <v>-</v>
      </c>
      <c r="K11" s="302">
        <f>ВС!K10+ЛП!K10</f>
        <v>1087337148.9000001</v>
      </c>
      <c r="L11" s="302">
        <f>ВС!L10+ЛП!L10</f>
        <v>20859412.300000001</v>
      </c>
      <c r="M11" s="302">
        <f>ВС!M10+ЛП!M10</f>
        <v>1066477736.6</v>
      </c>
      <c r="N11" s="302">
        <f>ВС!N10+ЛП!N10</f>
        <v>5804787.2199999997</v>
      </c>
      <c r="O11" s="254"/>
    </row>
    <row r="12" spans="1:15" x14ac:dyDescent="0.3">
      <c r="A12" s="298">
        <v>43556</v>
      </c>
      <c r="B12" s="299">
        <f>ВС!B11+ЛП!B11</f>
        <v>1087337148.9000001</v>
      </c>
      <c r="C12" s="299">
        <f>ВС!C11+ЛП!C11</f>
        <v>20859412.300000001</v>
      </c>
      <c r="D12" s="299">
        <f>ВС!D11+ЛП!D11</f>
        <v>1066477736.6</v>
      </c>
      <c r="E12" s="299">
        <f>ВС!E11+ЛП!E11</f>
        <v>3867231.64</v>
      </c>
      <c r="F12" s="300">
        <f t="shared" si="1"/>
        <v>20</v>
      </c>
      <c r="G12" s="301">
        <f>ВС!G11+ЛП!G11</f>
        <v>773446.33</v>
      </c>
      <c r="H12" s="302">
        <f>ВС!H11+ЛП!H11</f>
        <v>4640677.97</v>
      </c>
      <c r="I12" s="302">
        <f>ВС!I11+ЛП!I11</f>
        <v>13922033.91</v>
      </c>
      <c r="J12" s="303">
        <f t="shared" si="5"/>
        <v>43575</v>
      </c>
      <c r="K12" s="302">
        <f>ВС!K11+ЛП!K11</f>
        <v>1082122295.8199999</v>
      </c>
      <c r="L12" s="302">
        <f>ВС!L11+ЛП!L11</f>
        <v>21497547.91</v>
      </c>
      <c r="M12" s="302">
        <f>ВС!M11+ЛП!M11</f>
        <v>1060624747.91</v>
      </c>
      <c r="N12" s="302">
        <f>ВС!N11+ЛП!N11</f>
        <v>14511968.050000001</v>
      </c>
    </row>
    <row r="13" spans="1:15" x14ac:dyDescent="0.3">
      <c r="A13" s="298">
        <v>43586</v>
      </c>
      <c r="B13" s="299">
        <f>ВС!B12+ЛП!B12</f>
        <v>1082122295.8199999</v>
      </c>
      <c r="C13" s="299">
        <f>ВС!C12+ЛП!C12</f>
        <v>21497547.91</v>
      </c>
      <c r="D13" s="299">
        <f>ВС!D12+ЛП!D12</f>
        <v>1060624747.91</v>
      </c>
      <c r="E13" s="299">
        <f>ВС!E12+ЛП!E12</f>
        <v>3867231.64</v>
      </c>
      <c r="F13" s="300">
        <f t="shared" si="1"/>
        <v>20</v>
      </c>
      <c r="G13" s="301">
        <f>ВС!G12+ЛП!G12</f>
        <v>773446.33</v>
      </c>
      <c r="H13" s="302">
        <f>ВС!H12+ЛП!H12</f>
        <v>4640677.97</v>
      </c>
      <c r="I13" s="302">
        <f>ВС!I12+ЛП!I12</f>
        <v>0</v>
      </c>
      <c r="J13" s="303" t="str">
        <f t="shared" si="5"/>
        <v>-</v>
      </c>
      <c r="K13" s="302">
        <f>ВС!K12+ЛП!K12</f>
        <v>1082122295.8199999</v>
      </c>
      <c r="L13" s="302">
        <f>ВС!L12+ЛП!L12</f>
        <v>21497547.91</v>
      </c>
      <c r="M13" s="302">
        <f>ВС!M12+ЛП!M12</f>
        <v>1060624747.91</v>
      </c>
      <c r="N13" s="302">
        <f>ВС!N12+ЛП!N12</f>
        <v>14511968.050000001</v>
      </c>
    </row>
    <row r="14" spans="1:15" x14ac:dyDescent="0.3">
      <c r="A14" s="298">
        <v>43617</v>
      </c>
      <c r="B14" s="299">
        <f>ВС!B13+ЛП!B13</f>
        <v>1082122295.8199999</v>
      </c>
      <c r="C14" s="299">
        <f>ВС!C13+ЛП!C13</f>
        <v>21497547.91</v>
      </c>
      <c r="D14" s="299">
        <f>ВС!D13+ЛП!D13</f>
        <v>1060624747.91</v>
      </c>
      <c r="E14" s="299">
        <f>ВС!E13+ЛП!E13</f>
        <v>3867231.64</v>
      </c>
      <c r="F14" s="300">
        <f t="shared" si="1"/>
        <v>20</v>
      </c>
      <c r="G14" s="301">
        <f>ВС!G13+ЛП!G13</f>
        <v>773446.33</v>
      </c>
      <c r="H14" s="302">
        <f>ВС!H13+ЛП!H13</f>
        <v>4640677.97</v>
      </c>
      <c r="I14" s="302">
        <f>ВС!I13+ЛП!I13</f>
        <v>0</v>
      </c>
      <c r="J14" s="303" t="str">
        <f t="shared" si="5"/>
        <v>-</v>
      </c>
      <c r="K14" s="302">
        <f>ВС!K13+ЛП!K13</f>
        <v>1082122295.8199999</v>
      </c>
      <c r="L14" s="302">
        <f>ВС!L13+ЛП!L13</f>
        <v>21497547.91</v>
      </c>
      <c r="M14" s="302">
        <f>ВС!M13+ЛП!M13</f>
        <v>1060624747.91</v>
      </c>
      <c r="N14" s="302">
        <f>ВС!N13+ЛП!N13</f>
        <v>14511968.050000001</v>
      </c>
    </row>
    <row r="15" spans="1:15" x14ac:dyDescent="0.3">
      <c r="A15" s="298">
        <v>43647</v>
      </c>
      <c r="B15" s="299">
        <f>ВС!B14+ЛП!B14</f>
        <v>1082122295.8199999</v>
      </c>
      <c r="C15" s="299">
        <f>ВС!C14+ЛП!C14</f>
        <v>21497547.91</v>
      </c>
      <c r="D15" s="299">
        <f>ВС!D14+ЛП!D14</f>
        <v>1060624747.91</v>
      </c>
      <c r="E15" s="299">
        <f>ВС!E14+ЛП!E14</f>
        <v>3867231.64</v>
      </c>
      <c r="F15" s="300">
        <f t="shared" si="1"/>
        <v>20</v>
      </c>
      <c r="G15" s="301">
        <f>ВС!G14+ЛП!G14</f>
        <v>773446.33</v>
      </c>
      <c r="H15" s="302">
        <f>ВС!H14+ЛП!H14</f>
        <v>4640677.97</v>
      </c>
      <c r="I15" s="302">
        <f>ВС!I14+ЛП!I14</f>
        <v>13922033.91</v>
      </c>
      <c r="J15" s="303">
        <f t="shared" si="5"/>
        <v>43666</v>
      </c>
      <c r="K15" s="302">
        <f>ВС!K14+ЛП!K14</f>
        <v>1076907442.74</v>
      </c>
      <c r="L15" s="302">
        <f>ВС!L14+ЛП!L14</f>
        <v>22135683.52</v>
      </c>
      <c r="M15" s="302">
        <f>ВС!M14+ЛП!M14</f>
        <v>1054771759.22</v>
      </c>
      <c r="N15" s="302">
        <f>ВС!N14+ЛП!N14</f>
        <v>23219148.879999999</v>
      </c>
    </row>
    <row r="16" spans="1:15" x14ac:dyDescent="0.3">
      <c r="A16" s="298">
        <v>43678</v>
      </c>
      <c r="B16" s="299">
        <f>ВС!B15+ЛП!B15</f>
        <v>1076907442.74</v>
      </c>
      <c r="C16" s="299">
        <f>ВС!C15+ЛП!C15</f>
        <v>22135683.52</v>
      </c>
      <c r="D16" s="299">
        <f>ВС!D15+ЛП!D15</f>
        <v>1054771759.22</v>
      </c>
      <c r="E16" s="299">
        <f>ВС!E15+ЛП!E15</f>
        <v>3867231.64</v>
      </c>
      <c r="F16" s="300">
        <f t="shared" si="1"/>
        <v>20</v>
      </c>
      <c r="G16" s="301">
        <f>ВС!G15+ЛП!G15</f>
        <v>773446.33</v>
      </c>
      <c r="H16" s="302">
        <f>ВС!H15+ЛП!H15</f>
        <v>4640677.97</v>
      </c>
      <c r="I16" s="302">
        <f>ВС!I15+ЛП!I15</f>
        <v>0</v>
      </c>
      <c r="J16" s="303" t="str">
        <f t="shared" si="5"/>
        <v>-</v>
      </c>
      <c r="K16" s="302">
        <f>ВС!K15+ЛП!K15</f>
        <v>1076907442.74</v>
      </c>
      <c r="L16" s="302">
        <f>ВС!L15+ЛП!L15</f>
        <v>22135683.52</v>
      </c>
      <c r="M16" s="302">
        <f>ВС!M15+ЛП!M15</f>
        <v>1054771759.22</v>
      </c>
      <c r="N16" s="302">
        <f>ВС!N15+ЛП!N15</f>
        <v>23219148.879999999</v>
      </c>
    </row>
    <row r="17" spans="1:14" x14ac:dyDescent="0.3">
      <c r="A17" s="298">
        <v>43709</v>
      </c>
      <c r="B17" s="299">
        <f>ВС!B16+ЛП!B16</f>
        <v>1076907442.74</v>
      </c>
      <c r="C17" s="299">
        <f>ВС!C16+ЛП!C16</f>
        <v>22135683.52</v>
      </c>
      <c r="D17" s="299">
        <f>ВС!D16+ЛП!D16</f>
        <v>1054771759.22</v>
      </c>
      <c r="E17" s="299">
        <f>ВС!E16+ЛП!E16</f>
        <v>3867231.64</v>
      </c>
      <c r="F17" s="300">
        <f t="shared" si="1"/>
        <v>20</v>
      </c>
      <c r="G17" s="301">
        <f>ВС!G16+ЛП!G16</f>
        <v>773446.33</v>
      </c>
      <c r="H17" s="302">
        <f>ВС!H16+ЛП!H16</f>
        <v>4640677.97</v>
      </c>
      <c r="I17" s="302">
        <f>ВС!I16+ЛП!I16</f>
        <v>0</v>
      </c>
      <c r="J17" s="303" t="str">
        <f t="shared" si="5"/>
        <v>-</v>
      </c>
      <c r="K17" s="302">
        <f>ВС!K16+ЛП!K16</f>
        <v>1076907442.74</v>
      </c>
      <c r="L17" s="302">
        <f>ВС!L16+ЛП!L16</f>
        <v>22135683.52</v>
      </c>
      <c r="M17" s="302">
        <f>ВС!M16+ЛП!M16</f>
        <v>1054771759.22</v>
      </c>
      <c r="N17" s="302">
        <f>ВС!N16+ЛП!N16</f>
        <v>23219148.879999999</v>
      </c>
    </row>
    <row r="18" spans="1:14" x14ac:dyDescent="0.3">
      <c r="A18" s="298">
        <v>43739</v>
      </c>
      <c r="B18" s="299">
        <f>ВС!B17+ЛП!B17</f>
        <v>1076907442.74</v>
      </c>
      <c r="C18" s="299">
        <f>ВС!C17+ЛП!C17</f>
        <v>22135683.52</v>
      </c>
      <c r="D18" s="299">
        <f>ВС!D17+ЛП!D17</f>
        <v>1054771759.22</v>
      </c>
      <c r="E18" s="299">
        <f>ВС!E17+ЛП!E17</f>
        <v>3867231.64</v>
      </c>
      <c r="F18" s="300">
        <f t="shared" si="1"/>
        <v>20</v>
      </c>
      <c r="G18" s="301">
        <f>ВС!G17+ЛП!G17</f>
        <v>773446.33</v>
      </c>
      <c r="H18" s="302">
        <f>ВС!H17+ЛП!H17</f>
        <v>4640677.97</v>
      </c>
      <c r="I18" s="302">
        <f>ВС!I17+ЛП!I17</f>
        <v>13922033.91</v>
      </c>
      <c r="J18" s="303">
        <f t="shared" si="5"/>
        <v>43758</v>
      </c>
      <c r="K18" s="302">
        <f>ВС!K17+ЛП!K17</f>
        <v>1071692589.66</v>
      </c>
      <c r="L18" s="302">
        <f>ВС!L17+ЛП!L17</f>
        <v>22773819.129999999</v>
      </c>
      <c r="M18" s="302">
        <f>ВС!M17+ЛП!M17</f>
        <v>1048918770.53</v>
      </c>
      <c r="N18" s="302">
        <f>ВС!N17+ЛП!N17</f>
        <v>31926329.710000001</v>
      </c>
    </row>
    <row r="19" spans="1:14" x14ac:dyDescent="0.3">
      <c r="A19" s="298">
        <v>43770</v>
      </c>
      <c r="B19" s="299">
        <f>ВС!B18+ЛП!B18</f>
        <v>1071692589.66</v>
      </c>
      <c r="C19" s="299">
        <f>ВС!C18+ЛП!C18</f>
        <v>22773819.129999999</v>
      </c>
      <c r="D19" s="299">
        <f>ВС!D18+ЛП!D18</f>
        <v>1048918770.53</v>
      </c>
      <c r="E19" s="299">
        <f>ВС!E18+ЛП!E18</f>
        <v>3867231.64</v>
      </c>
      <c r="F19" s="300">
        <f t="shared" si="1"/>
        <v>20</v>
      </c>
      <c r="G19" s="301">
        <f>ВС!G18+ЛП!G18</f>
        <v>773446.33</v>
      </c>
      <c r="H19" s="302">
        <f>ВС!H18+ЛП!H18</f>
        <v>4640677.97</v>
      </c>
      <c r="I19" s="302">
        <f>ВС!I18+ЛП!I18</f>
        <v>0</v>
      </c>
      <c r="J19" s="303" t="str">
        <f t="shared" si="5"/>
        <v>-</v>
      </c>
      <c r="K19" s="302">
        <f>ВС!K18+ЛП!K18</f>
        <v>1071692589.66</v>
      </c>
      <c r="L19" s="302">
        <f>ВС!L18+ЛП!L18</f>
        <v>22773819.129999999</v>
      </c>
      <c r="M19" s="302">
        <f>ВС!M18+ЛП!M18</f>
        <v>1048918770.53</v>
      </c>
      <c r="N19" s="302">
        <f>ВС!N18+ЛП!N18</f>
        <v>31926329.710000001</v>
      </c>
    </row>
    <row r="20" spans="1:14" ht="19.5" thickBot="1" x14ac:dyDescent="0.35">
      <c r="A20" s="285">
        <v>43800</v>
      </c>
      <c r="B20" s="286">
        <f>ВС!B19+ЛП!B19</f>
        <v>1071692589.66</v>
      </c>
      <c r="C20" s="286">
        <f>ВС!C19+ЛП!C19</f>
        <v>22773819.129999999</v>
      </c>
      <c r="D20" s="286">
        <f>ВС!D19+ЛП!D19</f>
        <v>1048918770.53</v>
      </c>
      <c r="E20" s="286">
        <f>ВС!E19+ЛП!E19</f>
        <v>3867231.62</v>
      </c>
      <c r="F20" s="304">
        <f t="shared" si="1"/>
        <v>20</v>
      </c>
      <c r="G20" s="288">
        <f>ВС!G19+ЛП!G19</f>
        <v>773446.33</v>
      </c>
      <c r="H20" s="289">
        <f>ВС!H19+ЛП!H19</f>
        <v>4640677.95</v>
      </c>
      <c r="I20" s="289">
        <f>ВС!I19+ЛП!I19</f>
        <v>0</v>
      </c>
      <c r="J20" s="290" t="str">
        <f t="shared" si="5"/>
        <v>-</v>
      </c>
      <c r="K20" s="289">
        <f>ВС!K19+ЛП!K19</f>
        <v>1071692589.66</v>
      </c>
      <c r="L20" s="289">
        <f>ВС!L19+ЛП!L19</f>
        <v>22773819.129999999</v>
      </c>
      <c r="M20" s="289">
        <f>ВС!M19+ЛП!M19</f>
        <v>1048918770.53</v>
      </c>
      <c r="N20" s="289">
        <f>ВС!N19+ЛП!N19</f>
        <v>31926329.710000001</v>
      </c>
    </row>
    <row r="21" spans="1:14" s="306" customFormat="1" ht="19.5" thickBot="1" x14ac:dyDescent="0.35">
      <c r="A21" s="291">
        <v>2019</v>
      </c>
      <c r="B21" s="292">
        <f>B9</f>
        <v>1090090926.3199999</v>
      </c>
      <c r="C21" s="292">
        <f t="shared" ref="C21:D21" si="6">C9</f>
        <v>18398336.66</v>
      </c>
      <c r="D21" s="292">
        <f t="shared" si="6"/>
        <v>1071692589.66</v>
      </c>
      <c r="E21" s="292">
        <f>SUM(E9:E20)</f>
        <v>46406779.659999996</v>
      </c>
      <c r="F21" s="305">
        <f t="shared" si="1"/>
        <v>20</v>
      </c>
      <c r="G21" s="294">
        <f t="shared" ref="G21:I21" si="7">SUM(G9:G20)</f>
        <v>9281355.9600000009</v>
      </c>
      <c r="H21" s="295">
        <f t="shared" si="7"/>
        <v>55688135.619999997</v>
      </c>
      <c r="I21" s="295">
        <f t="shared" si="7"/>
        <v>50324666.369999997</v>
      </c>
      <c r="J21" s="296"/>
      <c r="K21" s="295">
        <f t="shared" ref="K21:M21" si="8">K20</f>
        <v>1071692589.66</v>
      </c>
      <c r="L21" s="295">
        <f t="shared" si="8"/>
        <v>22773819.129999999</v>
      </c>
      <c r="M21" s="295">
        <f t="shared" si="8"/>
        <v>1048918770.53</v>
      </c>
      <c r="N21" s="295">
        <f>N20</f>
        <v>31926329.710000001</v>
      </c>
    </row>
    <row r="22" spans="1:14" x14ac:dyDescent="0.3">
      <c r="A22" s="279">
        <v>43831</v>
      </c>
      <c r="B22" s="280">
        <f>ВС!B21+ЛП!B21</f>
        <v>1071692589.66</v>
      </c>
      <c r="C22" s="280">
        <f>ВС!C21+ЛП!C21</f>
        <v>22773819.129999999</v>
      </c>
      <c r="D22" s="280">
        <f>ВС!D21+ЛП!D21</f>
        <v>1048918770.53</v>
      </c>
      <c r="E22" s="280">
        <f>ВС!E21+ЛП!E21</f>
        <v>4044491.53</v>
      </c>
      <c r="F22" s="297">
        <f t="shared" si="1"/>
        <v>20</v>
      </c>
      <c r="G22" s="282">
        <f>ВС!G21+ЛП!G21</f>
        <v>808898.31</v>
      </c>
      <c r="H22" s="283">
        <f>ВС!H21+ЛП!H21</f>
        <v>4853389.84</v>
      </c>
      <c r="I22" s="283">
        <f>ВС!I21+ЛП!I21</f>
        <v>13922033.890000001</v>
      </c>
      <c r="J22" s="284">
        <f t="shared" ref="J22:J33" si="9">IF(I22=0,"-",A22+19)</f>
        <v>43850</v>
      </c>
      <c r="K22" s="283">
        <f>ВС!K21+ЛП!K21</f>
        <v>1066477736.6</v>
      </c>
      <c r="L22" s="283">
        <f>ВС!L21+ЛП!L21</f>
        <v>23411954.699999999</v>
      </c>
      <c r="M22" s="283">
        <f>ВС!M21+ЛП!M21</f>
        <v>1043065781.9</v>
      </c>
      <c r="N22" s="283">
        <f>ВС!N21+ЛП!N21</f>
        <v>40633510.539999999</v>
      </c>
    </row>
    <row r="23" spans="1:14" x14ac:dyDescent="0.3">
      <c r="A23" s="298">
        <v>43862</v>
      </c>
      <c r="B23" s="299">
        <f>ВС!B22+ЛП!B22</f>
        <v>1066477736.6</v>
      </c>
      <c r="C23" s="299">
        <f>ВС!C22+ЛП!C22</f>
        <v>23411954.699999999</v>
      </c>
      <c r="D23" s="299">
        <f>ВС!D22+ЛП!D22</f>
        <v>1043065781.9</v>
      </c>
      <c r="E23" s="299">
        <f>ВС!E22+ЛП!E22</f>
        <v>4044491.53</v>
      </c>
      <c r="F23" s="300">
        <f t="shared" si="1"/>
        <v>20</v>
      </c>
      <c r="G23" s="301">
        <f>ВС!G22+ЛП!G22</f>
        <v>808898.31</v>
      </c>
      <c r="H23" s="302">
        <f>ВС!H22+ЛП!H22</f>
        <v>4853389.84</v>
      </c>
      <c r="I23" s="302">
        <f>ВС!I22+ЛП!I22</f>
        <v>0</v>
      </c>
      <c r="J23" s="303" t="str">
        <f t="shared" si="9"/>
        <v>-</v>
      </c>
      <c r="K23" s="302">
        <f>ВС!K22+ЛП!K22</f>
        <v>1066477736.6</v>
      </c>
      <c r="L23" s="302">
        <f>ВС!L22+ЛП!L22</f>
        <v>23411954.699999999</v>
      </c>
      <c r="M23" s="302">
        <f>ВС!M22+ЛП!M22</f>
        <v>1043065781.9</v>
      </c>
      <c r="N23" s="302">
        <f>ВС!N22+ЛП!N22</f>
        <v>40633510.539999999</v>
      </c>
    </row>
    <row r="24" spans="1:14" x14ac:dyDescent="0.3">
      <c r="A24" s="298">
        <v>43891</v>
      </c>
      <c r="B24" s="299">
        <f>ВС!B23+ЛП!B23</f>
        <v>1066477736.6</v>
      </c>
      <c r="C24" s="299">
        <f>ВС!C23+ЛП!C23</f>
        <v>23411954.699999999</v>
      </c>
      <c r="D24" s="299">
        <f>ВС!D23+ЛП!D23</f>
        <v>1043065781.9</v>
      </c>
      <c r="E24" s="299">
        <f>ВС!E23+ЛП!E23</f>
        <v>4044491.53</v>
      </c>
      <c r="F24" s="300">
        <f t="shared" si="1"/>
        <v>20</v>
      </c>
      <c r="G24" s="301">
        <f>ВС!G23+ЛП!G23</f>
        <v>808898.31</v>
      </c>
      <c r="H24" s="302">
        <f>ВС!H23+ЛП!H23</f>
        <v>4853389.84</v>
      </c>
      <c r="I24" s="302">
        <f>ВС!I23+ЛП!I23</f>
        <v>0</v>
      </c>
      <c r="J24" s="303" t="str">
        <f t="shared" si="9"/>
        <v>-</v>
      </c>
      <c r="K24" s="302">
        <f>ВС!K23+ЛП!K23</f>
        <v>1066477736.6</v>
      </c>
      <c r="L24" s="302">
        <f>ВС!L23+ЛП!L23</f>
        <v>23411954.699999999</v>
      </c>
      <c r="M24" s="302">
        <f>ВС!M23+ЛП!M23</f>
        <v>1043065781.9</v>
      </c>
      <c r="N24" s="302">
        <f>ВС!N23+ЛП!N23</f>
        <v>40633510.539999999</v>
      </c>
    </row>
    <row r="25" spans="1:14" x14ac:dyDescent="0.3">
      <c r="A25" s="298">
        <v>43922</v>
      </c>
      <c r="B25" s="299">
        <f>ВС!B24+ЛП!B24</f>
        <v>1066477736.6</v>
      </c>
      <c r="C25" s="299">
        <f>ВС!C24+ЛП!C24</f>
        <v>23411954.699999999</v>
      </c>
      <c r="D25" s="299">
        <f>ВС!D24+ЛП!D24</f>
        <v>1043065781.9</v>
      </c>
      <c r="E25" s="299">
        <f>ВС!E24+ЛП!E24</f>
        <v>4044491.53</v>
      </c>
      <c r="F25" s="300">
        <f t="shared" si="1"/>
        <v>20</v>
      </c>
      <c r="G25" s="301">
        <f>ВС!G24+ЛП!G24</f>
        <v>808898.31</v>
      </c>
      <c r="H25" s="302">
        <f>ВС!H24+ЛП!H24</f>
        <v>4853389.84</v>
      </c>
      <c r="I25" s="302">
        <f>ВС!I24+ЛП!I24</f>
        <v>14560169.52</v>
      </c>
      <c r="J25" s="303">
        <f t="shared" si="9"/>
        <v>43941</v>
      </c>
      <c r="K25" s="302">
        <f>ВС!K24+ЛП!K24</f>
        <v>1060624747.91</v>
      </c>
      <c r="L25" s="302">
        <f>ВС!L24+ЛП!L24</f>
        <v>24065344.5</v>
      </c>
      <c r="M25" s="302">
        <f>ВС!M24+ЛП!M24</f>
        <v>1036559403.41</v>
      </c>
      <c r="N25" s="302">
        <f>ВС!N24+ЛП!N24</f>
        <v>49340691.369999997</v>
      </c>
    </row>
    <row r="26" spans="1:14" x14ac:dyDescent="0.3">
      <c r="A26" s="298">
        <v>43952</v>
      </c>
      <c r="B26" s="299">
        <f>ВС!B25+ЛП!B25</f>
        <v>1060624747.91</v>
      </c>
      <c r="C26" s="299">
        <f>ВС!C25+ЛП!C25</f>
        <v>24065344.5</v>
      </c>
      <c r="D26" s="299">
        <f>ВС!D25+ЛП!D25</f>
        <v>1036559403.41</v>
      </c>
      <c r="E26" s="299">
        <f>ВС!E25+ЛП!E25</f>
        <v>4044491.53</v>
      </c>
      <c r="F26" s="300">
        <f t="shared" si="1"/>
        <v>20</v>
      </c>
      <c r="G26" s="301">
        <f>ВС!G25+ЛП!G25</f>
        <v>808898.31</v>
      </c>
      <c r="H26" s="302">
        <f>ВС!H25+ЛП!H25</f>
        <v>4853389.84</v>
      </c>
      <c r="I26" s="302">
        <f>ВС!I25+ЛП!I25</f>
        <v>0</v>
      </c>
      <c r="J26" s="303" t="str">
        <f t="shared" si="9"/>
        <v>-</v>
      </c>
      <c r="K26" s="302">
        <f>ВС!K25+ЛП!K25</f>
        <v>1060624747.91</v>
      </c>
      <c r="L26" s="302">
        <f>ВС!L25+ЛП!L25</f>
        <v>24065344.5</v>
      </c>
      <c r="M26" s="302">
        <f>ВС!M25+ЛП!M25</f>
        <v>1036559403.41</v>
      </c>
      <c r="N26" s="302">
        <f>ВС!N25+ЛП!N25</f>
        <v>49340691.369999997</v>
      </c>
    </row>
    <row r="27" spans="1:14" x14ac:dyDescent="0.3">
      <c r="A27" s="298">
        <v>43983</v>
      </c>
      <c r="B27" s="299">
        <f>ВС!B26+ЛП!B26</f>
        <v>1060624747.91</v>
      </c>
      <c r="C27" s="299">
        <f>ВС!C26+ЛП!C26</f>
        <v>24065344.5</v>
      </c>
      <c r="D27" s="299">
        <f>ВС!D26+ЛП!D26</f>
        <v>1036559403.41</v>
      </c>
      <c r="E27" s="299">
        <f>ВС!E26+ЛП!E26</f>
        <v>4044491.53</v>
      </c>
      <c r="F27" s="300">
        <f t="shared" si="1"/>
        <v>20</v>
      </c>
      <c r="G27" s="301">
        <f>ВС!G26+ЛП!G26</f>
        <v>808898.31</v>
      </c>
      <c r="H27" s="302">
        <f>ВС!H26+ЛП!H26</f>
        <v>4853389.84</v>
      </c>
      <c r="I27" s="302">
        <f>ВС!I26+ЛП!I26</f>
        <v>0</v>
      </c>
      <c r="J27" s="303" t="str">
        <f t="shared" si="9"/>
        <v>-</v>
      </c>
      <c r="K27" s="302">
        <f>ВС!K26+ЛП!K26</f>
        <v>1060624747.91</v>
      </c>
      <c r="L27" s="302">
        <f>ВС!L26+ЛП!L26</f>
        <v>24065344.5</v>
      </c>
      <c r="M27" s="302">
        <f>ВС!M26+ЛП!M26</f>
        <v>1036559403.41</v>
      </c>
      <c r="N27" s="302">
        <f>ВС!N26+ЛП!N26</f>
        <v>49340691.369999997</v>
      </c>
    </row>
    <row r="28" spans="1:14" x14ac:dyDescent="0.3">
      <c r="A28" s="298">
        <v>44013</v>
      </c>
      <c r="B28" s="299">
        <f>ВС!B27+ЛП!B27</f>
        <v>1060624747.91</v>
      </c>
      <c r="C28" s="299">
        <f>ВС!C27+ЛП!C27</f>
        <v>24065344.5</v>
      </c>
      <c r="D28" s="299">
        <f>ВС!D27+ЛП!D27</f>
        <v>1036559403.41</v>
      </c>
      <c r="E28" s="299">
        <f>ВС!E27+ЛП!E27</f>
        <v>4044491.53</v>
      </c>
      <c r="F28" s="300">
        <f t="shared" si="1"/>
        <v>20</v>
      </c>
      <c r="G28" s="301">
        <f>ВС!G27+ЛП!G27</f>
        <v>808898.31</v>
      </c>
      <c r="H28" s="302">
        <f>ВС!H27+ЛП!H27</f>
        <v>4853389.84</v>
      </c>
      <c r="I28" s="302">
        <f>ВС!I27+ЛП!I27</f>
        <v>14560169.52</v>
      </c>
      <c r="J28" s="303">
        <f t="shared" si="9"/>
        <v>44032</v>
      </c>
      <c r="K28" s="302">
        <f>ВС!K27+ЛП!K27</f>
        <v>1054771759.22</v>
      </c>
      <c r="L28" s="302">
        <f>ВС!L27+ЛП!L27</f>
        <v>24718734.300000001</v>
      </c>
      <c r="M28" s="302">
        <f>ВС!M27+ЛП!M27</f>
        <v>1030053024.92</v>
      </c>
      <c r="N28" s="302">
        <f>ВС!N27+ЛП!N27</f>
        <v>58047872.200000003</v>
      </c>
    </row>
    <row r="29" spans="1:14" x14ac:dyDescent="0.3">
      <c r="A29" s="298">
        <v>44044</v>
      </c>
      <c r="B29" s="299">
        <f>ВС!B28+ЛП!B28</f>
        <v>1054771759.22</v>
      </c>
      <c r="C29" s="299">
        <f>ВС!C28+ЛП!C28</f>
        <v>24718734.300000001</v>
      </c>
      <c r="D29" s="299">
        <f>ВС!D28+ЛП!D28</f>
        <v>1030053024.92</v>
      </c>
      <c r="E29" s="299">
        <f>ВС!E28+ЛП!E28</f>
        <v>4044491.53</v>
      </c>
      <c r="F29" s="300">
        <f t="shared" si="1"/>
        <v>20</v>
      </c>
      <c r="G29" s="301">
        <f>ВС!G28+ЛП!G28</f>
        <v>808898.31</v>
      </c>
      <c r="H29" s="302">
        <f>ВС!H28+ЛП!H28</f>
        <v>4853389.84</v>
      </c>
      <c r="I29" s="302">
        <f>ВС!I28+ЛП!I28</f>
        <v>0</v>
      </c>
      <c r="J29" s="303" t="str">
        <f t="shared" si="9"/>
        <v>-</v>
      </c>
      <c r="K29" s="302">
        <f>ВС!K28+ЛП!K28</f>
        <v>1054771759.22</v>
      </c>
      <c r="L29" s="302">
        <f>ВС!L28+ЛП!L28</f>
        <v>24718734.300000001</v>
      </c>
      <c r="M29" s="302">
        <f>ВС!M28+ЛП!M28</f>
        <v>1030053024.92</v>
      </c>
      <c r="N29" s="302">
        <f>ВС!N28+ЛП!N28</f>
        <v>58047872.200000003</v>
      </c>
    </row>
    <row r="30" spans="1:14" x14ac:dyDescent="0.3">
      <c r="A30" s="298">
        <v>44075</v>
      </c>
      <c r="B30" s="299">
        <f>ВС!B29+ЛП!B29</f>
        <v>1054771759.22</v>
      </c>
      <c r="C30" s="299">
        <f>ВС!C29+ЛП!C29</f>
        <v>24718734.300000001</v>
      </c>
      <c r="D30" s="299">
        <f>ВС!D29+ЛП!D29</f>
        <v>1030053024.92</v>
      </c>
      <c r="E30" s="299">
        <f>ВС!E29+ЛП!E29</f>
        <v>4044491.53</v>
      </c>
      <c r="F30" s="300">
        <f t="shared" si="1"/>
        <v>20</v>
      </c>
      <c r="G30" s="301">
        <f>ВС!G29+ЛП!G29</f>
        <v>808898.31</v>
      </c>
      <c r="H30" s="302">
        <f>ВС!H29+ЛП!H29</f>
        <v>4853389.84</v>
      </c>
      <c r="I30" s="302">
        <f>ВС!I29+ЛП!I29</f>
        <v>0</v>
      </c>
      <c r="J30" s="303" t="str">
        <f t="shared" si="9"/>
        <v>-</v>
      </c>
      <c r="K30" s="302">
        <f>ВС!K29+ЛП!K29</f>
        <v>1054771759.22</v>
      </c>
      <c r="L30" s="302">
        <f>ВС!L29+ЛП!L29</f>
        <v>24718734.300000001</v>
      </c>
      <c r="M30" s="302">
        <f>ВС!M29+ЛП!M29</f>
        <v>1030053024.92</v>
      </c>
      <c r="N30" s="302">
        <f>ВС!N29+ЛП!N29</f>
        <v>58047872.200000003</v>
      </c>
    </row>
    <row r="31" spans="1:14" x14ac:dyDescent="0.3">
      <c r="A31" s="298">
        <v>44105</v>
      </c>
      <c r="B31" s="299">
        <f>ВС!B30+ЛП!B30</f>
        <v>1054771759.22</v>
      </c>
      <c r="C31" s="299">
        <f>ВС!C30+ЛП!C30</f>
        <v>24718734.300000001</v>
      </c>
      <c r="D31" s="299">
        <f>ВС!D30+ЛП!D30</f>
        <v>1030053024.92</v>
      </c>
      <c r="E31" s="299">
        <f>ВС!E30+ЛП!E30</f>
        <v>4044491.53</v>
      </c>
      <c r="F31" s="300">
        <f t="shared" si="1"/>
        <v>20</v>
      </c>
      <c r="G31" s="301">
        <f>ВС!G30+ЛП!G30</f>
        <v>808898.31</v>
      </c>
      <c r="H31" s="302">
        <f>ВС!H30+ЛП!H30</f>
        <v>4853389.84</v>
      </c>
      <c r="I31" s="302">
        <f>ВС!I30+ЛП!I30</f>
        <v>14560169.52</v>
      </c>
      <c r="J31" s="303">
        <f t="shared" si="9"/>
        <v>44124</v>
      </c>
      <c r="K31" s="302">
        <f>ВС!K30+ЛП!K30</f>
        <v>1048918770.53</v>
      </c>
      <c r="L31" s="302">
        <f>ВС!L30+ЛП!L30</f>
        <v>25372124.100000001</v>
      </c>
      <c r="M31" s="302">
        <f>ВС!M30+ЛП!M30</f>
        <v>1023546646.4299999</v>
      </c>
      <c r="N31" s="302">
        <f>ВС!N30+ЛП!N30</f>
        <v>66755053.030000001</v>
      </c>
    </row>
    <row r="32" spans="1:14" x14ac:dyDescent="0.3">
      <c r="A32" s="298">
        <v>44136</v>
      </c>
      <c r="B32" s="299">
        <f>ВС!B31+ЛП!B31</f>
        <v>1048918770.53</v>
      </c>
      <c r="C32" s="299">
        <f>ВС!C31+ЛП!C31</f>
        <v>25372124.100000001</v>
      </c>
      <c r="D32" s="299">
        <f>ВС!D31+ЛП!D31</f>
        <v>1023546646.4299999</v>
      </c>
      <c r="E32" s="299">
        <f>ВС!E31+ЛП!E31</f>
        <v>4044491.53</v>
      </c>
      <c r="F32" s="300">
        <f t="shared" si="1"/>
        <v>20</v>
      </c>
      <c r="G32" s="301">
        <f>ВС!G31+ЛП!G31</f>
        <v>808898.31</v>
      </c>
      <c r="H32" s="302">
        <f>ВС!H31+ЛП!H31</f>
        <v>4853389.84</v>
      </c>
      <c r="I32" s="302">
        <f>ВС!I31+ЛП!I31</f>
        <v>0</v>
      </c>
      <c r="J32" s="303" t="str">
        <f t="shared" si="9"/>
        <v>-</v>
      </c>
      <c r="K32" s="302">
        <f>ВС!K31+ЛП!K31</f>
        <v>1048918770.53</v>
      </c>
      <c r="L32" s="302">
        <f>ВС!L31+ЛП!L31</f>
        <v>25372124.100000001</v>
      </c>
      <c r="M32" s="302">
        <f>ВС!M31+ЛП!M31</f>
        <v>1023546646.4299999</v>
      </c>
      <c r="N32" s="302">
        <f>ВС!N31+ЛП!N31</f>
        <v>66755053.030000001</v>
      </c>
    </row>
    <row r="33" spans="1:14" ht="19.5" thickBot="1" x14ac:dyDescent="0.35">
      <c r="A33" s="285">
        <v>44166</v>
      </c>
      <c r="B33" s="286">
        <f>ВС!B32+ЛП!B32</f>
        <v>1048918770.53</v>
      </c>
      <c r="C33" s="286">
        <f>ВС!C32+ЛП!C32</f>
        <v>25372124.100000001</v>
      </c>
      <c r="D33" s="286">
        <f>ВС!D32+ЛП!D32</f>
        <v>1023546646.4299999</v>
      </c>
      <c r="E33" s="286">
        <f>ВС!E32+ЛП!E32</f>
        <v>4044491.48</v>
      </c>
      <c r="F33" s="304">
        <f t="shared" si="1"/>
        <v>20</v>
      </c>
      <c r="G33" s="288">
        <f>ВС!G32+ЛП!G32</f>
        <v>808898.3</v>
      </c>
      <c r="H33" s="289">
        <f>ВС!H32+ЛП!H32</f>
        <v>4853389.78</v>
      </c>
      <c r="I33" s="289">
        <f>ВС!I32+ЛП!I32</f>
        <v>0</v>
      </c>
      <c r="J33" s="290" t="str">
        <f t="shared" si="9"/>
        <v>-</v>
      </c>
      <c r="K33" s="289">
        <f>ВС!K32+ЛП!K32</f>
        <v>1048918770.53</v>
      </c>
      <c r="L33" s="289">
        <f>ВС!L32+ЛП!L32</f>
        <v>25372124.100000001</v>
      </c>
      <c r="M33" s="289">
        <f>ВС!M32+ЛП!M32</f>
        <v>1023546646.4299999</v>
      </c>
      <c r="N33" s="289">
        <f>ВС!N32+ЛП!N32</f>
        <v>66755053.030000001</v>
      </c>
    </row>
    <row r="34" spans="1:14" s="306" customFormat="1" ht="19.5" thickBot="1" x14ac:dyDescent="0.35">
      <c r="A34" s="291">
        <v>2020</v>
      </c>
      <c r="B34" s="292">
        <f t="shared" ref="B34:D34" si="10">B22</f>
        <v>1071692589.66</v>
      </c>
      <c r="C34" s="292">
        <f t="shared" si="10"/>
        <v>22773819.129999999</v>
      </c>
      <c r="D34" s="292">
        <f t="shared" si="10"/>
        <v>1048918770.53</v>
      </c>
      <c r="E34" s="292">
        <f t="shared" ref="E34" si="11">SUM(E22:E33)</f>
        <v>48533898.310000002</v>
      </c>
      <c r="F34" s="305">
        <f t="shared" si="1"/>
        <v>20</v>
      </c>
      <c r="G34" s="294">
        <f t="shared" ref="G34:I34" si="12">SUM(G22:G33)</f>
        <v>9706779.7100000009</v>
      </c>
      <c r="H34" s="295">
        <f t="shared" si="12"/>
        <v>58240678.020000003</v>
      </c>
      <c r="I34" s="295">
        <f t="shared" si="12"/>
        <v>57602542.450000003</v>
      </c>
      <c r="J34" s="296"/>
      <c r="K34" s="295">
        <f t="shared" ref="K34:N34" si="13">K33</f>
        <v>1048918770.53</v>
      </c>
      <c r="L34" s="295">
        <f t="shared" si="13"/>
        <v>25372124.100000001</v>
      </c>
      <c r="M34" s="295">
        <f t="shared" si="13"/>
        <v>1023546646.4299999</v>
      </c>
      <c r="N34" s="295">
        <f t="shared" si="13"/>
        <v>66755053.030000001</v>
      </c>
    </row>
    <row r="35" spans="1:14" x14ac:dyDescent="0.3">
      <c r="A35" s="279">
        <v>44197</v>
      </c>
      <c r="B35" s="280">
        <f>ВС!B34+ЛП!B34</f>
        <v>1048918770.53</v>
      </c>
      <c r="C35" s="280">
        <f>ВС!C34+ЛП!C34</f>
        <v>25372124.100000001</v>
      </c>
      <c r="D35" s="280">
        <f>ВС!D34+ЛП!D34</f>
        <v>1023546646.4299999</v>
      </c>
      <c r="E35" s="280">
        <f>ВС!E34+ЛП!E34</f>
        <v>4225988.7</v>
      </c>
      <c r="F35" s="297">
        <f t="shared" si="1"/>
        <v>20</v>
      </c>
      <c r="G35" s="282">
        <f>ВС!G34+ЛП!G34</f>
        <v>845197.74</v>
      </c>
      <c r="H35" s="283">
        <f>ВС!H34+ЛП!H34</f>
        <v>5071186.4400000004</v>
      </c>
      <c r="I35" s="283">
        <f>ВС!I34+ЛП!I34</f>
        <v>14560169.460000001</v>
      </c>
      <c r="J35" s="284">
        <f t="shared" ref="J35:J46" si="14">IF(I35=0,"-",A35+19)</f>
        <v>44216</v>
      </c>
      <c r="K35" s="283">
        <f>ВС!K34+ЛП!K34</f>
        <v>1043065781.9</v>
      </c>
      <c r="L35" s="283">
        <f>ВС!L34+ЛП!L34</f>
        <v>26025513.969999999</v>
      </c>
      <c r="M35" s="283">
        <f>ВС!M34+ЛП!M34</f>
        <v>1017040267.9299999</v>
      </c>
      <c r="N35" s="283">
        <f>ВС!N34+ЛП!N34</f>
        <v>75462233.859999999</v>
      </c>
    </row>
    <row r="36" spans="1:14" x14ac:dyDescent="0.3">
      <c r="A36" s="298">
        <v>44228</v>
      </c>
      <c r="B36" s="299">
        <f>ВС!B35+ЛП!B35</f>
        <v>1043065781.9</v>
      </c>
      <c r="C36" s="299">
        <f>ВС!C35+ЛП!C35</f>
        <v>26025513.969999999</v>
      </c>
      <c r="D36" s="299">
        <f>ВС!D35+ЛП!D35</f>
        <v>1017040267.9299999</v>
      </c>
      <c r="E36" s="299">
        <f>ВС!E35+ЛП!E35</f>
        <v>4225988.7</v>
      </c>
      <c r="F36" s="300">
        <f t="shared" si="1"/>
        <v>20</v>
      </c>
      <c r="G36" s="301">
        <f>ВС!G35+ЛП!G35</f>
        <v>845197.74</v>
      </c>
      <c r="H36" s="302">
        <f>ВС!H35+ЛП!H35</f>
        <v>5071186.4400000004</v>
      </c>
      <c r="I36" s="302">
        <f>ВС!I35+ЛП!I35</f>
        <v>0</v>
      </c>
      <c r="J36" s="303" t="str">
        <f t="shared" si="14"/>
        <v>-</v>
      </c>
      <c r="K36" s="302">
        <f>ВС!K35+ЛП!K35</f>
        <v>1043065781.9</v>
      </c>
      <c r="L36" s="302">
        <f>ВС!L35+ЛП!L35</f>
        <v>26025513.969999999</v>
      </c>
      <c r="M36" s="302">
        <f>ВС!M35+ЛП!M35</f>
        <v>1017040267.9299999</v>
      </c>
      <c r="N36" s="302">
        <f>ВС!N35+ЛП!N35</f>
        <v>75462233.859999999</v>
      </c>
    </row>
    <row r="37" spans="1:14" x14ac:dyDescent="0.3">
      <c r="A37" s="298">
        <v>44256</v>
      </c>
      <c r="B37" s="299">
        <f>ВС!B36+ЛП!B36</f>
        <v>1043065781.9</v>
      </c>
      <c r="C37" s="299">
        <f>ВС!C36+ЛП!C36</f>
        <v>26025513.969999999</v>
      </c>
      <c r="D37" s="299">
        <f>ВС!D36+ЛП!D36</f>
        <v>1017040267.9299999</v>
      </c>
      <c r="E37" s="299">
        <f>ВС!E36+ЛП!E36</f>
        <v>4225988.7</v>
      </c>
      <c r="F37" s="300">
        <f t="shared" si="1"/>
        <v>20</v>
      </c>
      <c r="G37" s="301">
        <f>ВС!G36+ЛП!G36</f>
        <v>845197.74</v>
      </c>
      <c r="H37" s="302">
        <f>ВС!H36+ЛП!H36</f>
        <v>5071186.4400000004</v>
      </c>
      <c r="I37" s="302">
        <f>ВС!I36+ЛП!I36</f>
        <v>0</v>
      </c>
      <c r="J37" s="303" t="str">
        <f t="shared" si="14"/>
        <v>-</v>
      </c>
      <c r="K37" s="302">
        <f>ВС!K36+ЛП!K36</f>
        <v>1043065781.9</v>
      </c>
      <c r="L37" s="302">
        <f>ВС!L36+ЛП!L36</f>
        <v>26025513.969999999</v>
      </c>
      <c r="M37" s="302">
        <f>ВС!M36+ЛП!M36</f>
        <v>1017040267.9299999</v>
      </c>
      <c r="N37" s="302">
        <f>ВС!N36+ЛП!N36</f>
        <v>75462233.859999999</v>
      </c>
    </row>
    <row r="38" spans="1:14" x14ac:dyDescent="0.3">
      <c r="A38" s="298">
        <v>44287</v>
      </c>
      <c r="B38" s="299">
        <f>ВС!B37+ЛП!B37</f>
        <v>1043065781.9</v>
      </c>
      <c r="C38" s="299">
        <f>ВС!C37+ЛП!C37</f>
        <v>26025513.969999999</v>
      </c>
      <c r="D38" s="299">
        <f>ВС!D37+ЛП!D37</f>
        <v>1017040267.9299999</v>
      </c>
      <c r="E38" s="299">
        <f>ВС!E37+ЛП!E37</f>
        <v>4225988.7</v>
      </c>
      <c r="F38" s="300">
        <f t="shared" si="1"/>
        <v>20</v>
      </c>
      <c r="G38" s="301">
        <f>ВС!G37+ЛП!G37</f>
        <v>845197.74</v>
      </c>
      <c r="H38" s="302">
        <f>ВС!H37+ЛП!H37</f>
        <v>5071186.4400000004</v>
      </c>
      <c r="I38" s="302">
        <f>ВС!I37+ЛП!I37</f>
        <v>15213559.32</v>
      </c>
      <c r="J38" s="303">
        <f t="shared" si="14"/>
        <v>44306</v>
      </c>
      <c r="K38" s="302">
        <f>ВС!K37+ЛП!K37</f>
        <v>1036559403.41</v>
      </c>
      <c r="L38" s="302">
        <f>ВС!L37+ЛП!L37</f>
        <v>26694158.02</v>
      </c>
      <c r="M38" s="302">
        <f>ВС!M37+ЛП!M37</f>
        <v>1009865245.39</v>
      </c>
      <c r="N38" s="302">
        <f>ВС!N37+ЛП!N37</f>
        <v>84169414.689999998</v>
      </c>
    </row>
    <row r="39" spans="1:14" x14ac:dyDescent="0.3">
      <c r="A39" s="298">
        <v>44317</v>
      </c>
      <c r="B39" s="299">
        <f>ВС!B38+ЛП!B38</f>
        <v>1036559403.41</v>
      </c>
      <c r="C39" s="299">
        <f>ВС!C38+ЛП!C38</f>
        <v>26694158.02</v>
      </c>
      <c r="D39" s="299">
        <f>ВС!D38+ЛП!D38</f>
        <v>1009865245.39</v>
      </c>
      <c r="E39" s="299">
        <f>ВС!E38+ЛП!E38</f>
        <v>4225988.7</v>
      </c>
      <c r="F39" s="300">
        <f t="shared" si="1"/>
        <v>20</v>
      </c>
      <c r="G39" s="301">
        <f>ВС!G38+ЛП!G38</f>
        <v>845197.74</v>
      </c>
      <c r="H39" s="302">
        <f>ВС!H38+ЛП!H38</f>
        <v>5071186.4400000004</v>
      </c>
      <c r="I39" s="302">
        <f>ВС!I38+ЛП!I38</f>
        <v>0</v>
      </c>
      <c r="J39" s="303" t="str">
        <f t="shared" si="14"/>
        <v>-</v>
      </c>
      <c r="K39" s="302">
        <f>ВС!K38+ЛП!K38</f>
        <v>1036559403.41</v>
      </c>
      <c r="L39" s="302">
        <f>ВС!L38+ЛП!L38</f>
        <v>26694158.02</v>
      </c>
      <c r="M39" s="302">
        <f>ВС!M38+ЛП!M38</f>
        <v>1009865245.39</v>
      </c>
      <c r="N39" s="302">
        <f>ВС!N38+ЛП!N38</f>
        <v>84169414.689999998</v>
      </c>
    </row>
    <row r="40" spans="1:14" x14ac:dyDescent="0.3">
      <c r="A40" s="298">
        <v>44348</v>
      </c>
      <c r="B40" s="299">
        <f>ВС!B39+ЛП!B39</f>
        <v>1036559403.41</v>
      </c>
      <c r="C40" s="299">
        <f>ВС!C39+ЛП!C39</f>
        <v>26694158.02</v>
      </c>
      <c r="D40" s="299">
        <f>ВС!D39+ЛП!D39</f>
        <v>1009865245.39</v>
      </c>
      <c r="E40" s="299">
        <f>ВС!E39+ЛП!E39</f>
        <v>4225988.7</v>
      </c>
      <c r="F40" s="300">
        <f t="shared" si="1"/>
        <v>20</v>
      </c>
      <c r="G40" s="301">
        <f>ВС!G39+ЛП!G39</f>
        <v>845197.74</v>
      </c>
      <c r="H40" s="302">
        <f>ВС!H39+ЛП!H39</f>
        <v>5071186.4400000004</v>
      </c>
      <c r="I40" s="302">
        <f>ВС!I39+ЛП!I39</f>
        <v>0</v>
      </c>
      <c r="J40" s="303" t="str">
        <f t="shared" si="14"/>
        <v>-</v>
      </c>
      <c r="K40" s="302">
        <f>ВС!K39+ЛП!K39</f>
        <v>1036559403.41</v>
      </c>
      <c r="L40" s="302">
        <f>ВС!L39+ЛП!L39</f>
        <v>26694158.02</v>
      </c>
      <c r="M40" s="302">
        <f>ВС!M39+ЛП!M39</f>
        <v>1009865245.39</v>
      </c>
      <c r="N40" s="302">
        <f>ВС!N39+ЛП!N39</f>
        <v>84169414.689999998</v>
      </c>
    </row>
    <row r="41" spans="1:14" x14ac:dyDescent="0.3">
      <c r="A41" s="298">
        <v>44378</v>
      </c>
      <c r="B41" s="299">
        <f>ВС!B40+ЛП!B40</f>
        <v>1036559403.41</v>
      </c>
      <c r="C41" s="299">
        <f>ВС!C40+ЛП!C40</f>
        <v>26694158.02</v>
      </c>
      <c r="D41" s="299">
        <f>ВС!D40+ЛП!D40</f>
        <v>1009865245.39</v>
      </c>
      <c r="E41" s="299">
        <f>ВС!E40+ЛП!E40</f>
        <v>4225988.7</v>
      </c>
      <c r="F41" s="300">
        <f t="shared" si="1"/>
        <v>20</v>
      </c>
      <c r="G41" s="301">
        <f>ВС!G40+ЛП!G40</f>
        <v>845197.74</v>
      </c>
      <c r="H41" s="302">
        <f>ВС!H40+ЛП!H40</f>
        <v>5071186.4400000004</v>
      </c>
      <c r="I41" s="302">
        <f>ВС!I40+ЛП!I40</f>
        <v>15213559.32</v>
      </c>
      <c r="J41" s="303">
        <f t="shared" si="14"/>
        <v>44397</v>
      </c>
      <c r="K41" s="302">
        <f>ВС!K40+ЛП!K40</f>
        <v>1030053024.92</v>
      </c>
      <c r="L41" s="302">
        <f>ВС!L40+ЛП!L40</f>
        <v>27362802.07</v>
      </c>
      <c r="M41" s="302">
        <f>ВС!M40+ЛП!M40</f>
        <v>1002690222.85</v>
      </c>
      <c r="N41" s="302">
        <f>ВС!N40+ЛП!N40</f>
        <v>92876595.519999996</v>
      </c>
    </row>
    <row r="42" spans="1:14" x14ac:dyDescent="0.3">
      <c r="A42" s="298">
        <v>44409</v>
      </c>
      <c r="B42" s="299">
        <f>ВС!B41+ЛП!B41</f>
        <v>1030053024.92</v>
      </c>
      <c r="C42" s="299">
        <f>ВС!C41+ЛП!C41</f>
        <v>27362802.07</v>
      </c>
      <c r="D42" s="299">
        <f>ВС!D41+ЛП!D41</f>
        <v>1002690222.85</v>
      </c>
      <c r="E42" s="299">
        <f>ВС!E41+ЛП!E41</f>
        <v>4225988.7</v>
      </c>
      <c r="F42" s="300">
        <f t="shared" si="1"/>
        <v>20</v>
      </c>
      <c r="G42" s="301">
        <f>ВС!G41+ЛП!G41</f>
        <v>845197.74</v>
      </c>
      <c r="H42" s="302">
        <f>ВС!H41+ЛП!H41</f>
        <v>5071186.4400000004</v>
      </c>
      <c r="I42" s="302">
        <f>ВС!I41+ЛП!I41</f>
        <v>0</v>
      </c>
      <c r="J42" s="303" t="str">
        <f t="shared" si="14"/>
        <v>-</v>
      </c>
      <c r="K42" s="302">
        <f>ВС!K41+ЛП!K41</f>
        <v>1030053024.92</v>
      </c>
      <c r="L42" s="302">
        <f>ВС!L41+ЛП!L41</f>
        <v>27362802.07</v>
      </c>
      <c r="M42" s="302">
        <f>ВС!M41+ЛП!M41</f>
        <v>1002690222.85</v>
      </c>
      <c r="N42" s="302">
        <f>ВС!N41+ЛП!N41</f>
        <v>92876595.519999996</v>
      </c>
    </row>
    <row r="43" spans="1:14" x14ac:dyDescent="0.3">
      <c r="A43" s="298">
        <v>44440</v>
      </c>
      <c r="B43" s="299">
        <f>ВС!B42+ЛП!B42</f>
        <v>1030053024.92</v>
      </c>
      <c r="C43" s="299">
        <f>ВС!C42+ЛП!C42</f>
        <v>27362802.07</v>
      </c>
      <c r="D43" s="299">
        <f>ВС!D42+ЛП!D42</f>
        <v>1002690222.85</v>
      </c>
      <c r="E43" s="299">
        <f>ВС!E42+ЛП!E42</f>
        <v>4225988.7</v>
      </c>
      <c r="F43" s="300">
        <f t="shared" si="1"/>
        <v>20</v>
      </c>
      <c r="G43" s="301">
        <f>ВС!G42+ЛП!G42</f>
        <v>845197.74</v>
      </c>
      <c r="H43" s="302">
        <f>ВС!H42+ЛП!H42</f>
        <v>5071186.4400000004</v>
      </c>
      <c r="I43" s="302">
        <f>ВС!I42+ЛП!I42</f>
        <v>0</v>
      </c>
      <c r="J43" s="303" t="str">
        <f t="shared" si="14"/>
        <v>-</v>
      </c>
      <c r="K43" s="302">
        <f>ВС!K42+ЛП!K42</f>
        <v>1030053024.92</v>
      </c>
      <c r="L43" s="302">
        <f>ВС!L42+ЛП!L42</f>
        <v>27362802.07</v>
      </c>
      <c r="M43" s="302">
        <f>ВС!M42+ЛП!M42</f>
        <v>1002690222.85</v>
      </c>
      <c r="N43" s="302">
        <f>ВС!N42+ЛП!N42</f>
        <v>92876595.519999996</v>
      </c>
    </row>
    <row r="44" spans="1:14" x14ac:dyDescent="0.3">
      <c r="A44" s="298">
        <v>44470</v>
      </c>
      <c r="B44" s="299">
        <f>ВС!B43+ЛП!B43</f>
        <v>1030053024.92</v>
      </c>
      <c r="C44" s="299">
        <f>ВС!C43+ЛП!C43</f>
        <v>27362802.07</v>
      </c>
      <c r="D44" s="299">
        <f>ВС!D43+ЛП!D43</f>
        <v>1002690222.85</v>
      </c>
      <c r="E44" s="299">
        <f>ВС!E43+ЛП!E43</f>
        <v>4225988.7</v>
      </c>
      <c r="F44" s="300">
        <f t="shared" si="1"/>
        <v>20</v>
      </c>
      <c r="G44" s="301">
        <f>ВС!G43+ЛП!G43</f>
        <v>845197.74</v>
      </c>
      <c r="H44" s="302">
        <f>ВС!H43+ЛП!H43</f>
        <v>5071186.4400000004</v>
      </c>
      <c r="I44" s="302">
        <f>ВС!I43+ЛП!I43</f>
        <v>15213559.32</v>
      </c>
      <c r="J44" s="303">
        <f t="shared" si="14"/>
        <v>44489</v>
      </c>
      <c r="K44" s="302">
        <f>ВС!K43+ЛП!K43</f>
        <v>1023546646.4299999</v>
      </c>
      <c r="L44" s="302">
        <f>ВС!L43+ЛП!L43</f>
        <v>28031446.120000001</v>
      </c>
      <c r="M44" s="302">
        <f>ВС!M43+ЛП!M43</f>
        <v>995515200.30999994</v>
      </c>
      <c r="N44" s="302">
        <f>ВС!N43+ЛП!N43</f>
        <v>101583776.34999999</v>
      </c>
    </row>
    <row r="45" spans="1:14" x14ac:dyDescent="0.3">
      <c r="A45" s="298">
        <v>44501</v>
      </c>
      <c r="B45" s="299">
        <f>ВС!B44+ЛП!B44</f>
        <v>1023546646.4299999</v>
      </c>
      <c r="C45" s="299">
        <f>ВС!C44+ЛП!C44</f>
        <v>28031446.120000001</v>
      </c>
      <c r="D45" s="299">
        <f>ВС!D44+ЛП!D44</f>
        <v>995515200.30999994</v>
      </c>
      <c r="E45" s="299">
        <f>ВС!E44+ЛП!E44</f>
        <v>4225988.7</v>
      </c>
      <c r="F45" s="300">
        <f t="shared" si="1"/>
        <v>20</v>
      </c>
      <c r="G45" s="301">
        <f>ВС!G44+ЛП!G44</f>
        <v>845197.74</v>
      </c>
      <c r="H45" s="302">
        <f>ВС!H44+ЛП!H44</f>
        <v>5071186.4400000004</v>
      </c>
      <c r="I45" s="302">
        <f>ВС!I44+ЛП!I44</f>
        <v>0</v>
      </c>
      <c r="J45" s="303" t="str">
        <f t="shared" si="14"/>
        <v>-</v>
      </c>
      <c r="K45" s="302">
        <f>ВС!K44+ЛП!K44</f>
        <v>1023546646.4299999</v>
      </c>
      <c r="L45" s="302">
        <f>ВС!L44+ЛП!L44</f>
        <v>28031446.120000001</v>
      </c>
      <c r="M45" s="302">
        <f>ВС!M44+ЛП!M44</f>
        <v>995515200.30999994</v>
      </c>
      <c r="N45" s="302">
        <f>ВС!N44+ЛП!N44</f>
        <v>101583776.34999999</v>
      </c>
    </row>
    <row r="46" spans="1:14" ht="19.5" thickBot="1" x14ac:dyDescent="0.35">
      <c r="A46" s="285">
        <v>44531</v>
      </c>
      <c r="B46" s="286">
        <f>ВС!B45+ЛП!B45</f>
        <v>1023546646.4299999</v>
      </c>
      <c r="C46" s="286">
        <f>ВС!C45+ЛП!C45</f>
        <v>28031446.120000001</v>
      </c>
      <c r="D46" s="286">
        <f>ВС!D45+ЛП!D45</f>
        <v>995515200.30999994</v>
      </c>
      <c r="E46" s="286">
        <f>ВС!E45+ЛП!E45</f>
        <v>4225988.71</v>
      </c>
      <c r="F46" s="304">
        <f t="shared" si="1"/>
        <v>20</v>
      </c>
      <c r="G46" s="288">
        <f>ВС!G45+ЛП!G45</f>
        <v>845197.74</v>
      </c>
      <c r="H46" s="289">
        <f>ВС!H45+ЛП!H45</f>
        <v>5071186.45</v>
      </c>
      <c r="I46" s="289">
        <f>ВС!I45+ЛП!I45</f>
        <v>0</v>
      </c>
      <c r="J46" s="290" t="str">
        <f t="shared" si="14"/>
        <v>-</v>
      </c>
      <c r="K46" s="289">
        <f>ВС!K45+ЛП!K45</f>
        <v>1023546646.4299999</v>
      </c>
      <c r="L46" s="289">
        <f>ВС!L45+ЛП!L45</f>
        <v>28031446.120000001</v>
      </c>
      <c r="M46" s="289">
        <f>ВС!M45+ЛП!M45</f>
        <v>995515200.30999994</v>
      </c>
      <c r="N46" s="289">
        <f>ВС!N45+ЛП!N45</f>
        <v>101583776.34999999</v>
      </c>
    </row>
    <row r="47" spans="1:14" s="306" customFormat="1" ht="19.5" thickBot="1" x14ac:dyDescent="0.35">
      <c r="A47" s="291">
        <v>2021</v>
      </c>
      <c r="B47" s="292">
        <f t="shared" ref="B47:D47" si="15">B35</f>
        <v>1048918770.53</v>
      </c>
      <c r="C47" s="292">
        <f t="shared" si="15"/>
        <v>25372124.100000001</v>
      </c>
      <c r="D47" s="292">
        <f t="shared" si="15"/>
        <v>1023546646.4299999</v>
      </c>
      <c r="E47" s="292">
        <f t="shared" ref="E47" si="16">SUM(E35:E46)</f>
        <v>50711864.409999996</v>
      </c>
      <c r="F47" s="305">
        <f t="shared" si="1"/>
        <v>20</v>
      </c>
      <c r="G47" s="294">
        <f t="shared" ref="G47:I47" si="17">SUM(G35:G46)</f>
        <v>10142372.880000001</v>
      </c>
      <c r="H47" s="295">
        <f t="shared" si="17"/>
        <v>60854237.289999999</v>
      </c>
      <c r="I47" s="295">
        <f t="shared" si="17"/>
        <v>60200847.420000002</v>
      </c>
      <c r="J47" s="296"/>
      <c r="K47" s="295">
        <f t="shared" ref="K47:N47" si="18">K46</f>
        <v>1023546646.4299999</v>
      </c>
      <c r="L47" s="295">
        <f t="shared" si="18"/>
        <v>28031446.120000001</v>
      </c>
      <c r="M47" s="295">
        <f t="shared" si="18"/>
        <v>995515200.30999994</v>
      </c>
      <c r="N47" s="295">
        <f t="shared" si="18"/>
        <v>101583776.34999999</v>
      </c>
    </row>
    <row r="48" spans="1:14" x14ac:dyDescent="0.3">
      <c r="A48" s="279">
        <v>44562</v>
      </c>
      <c r="B48" s="280">
        <f>ВС!B47+ЛП!B47</f>
        <v>1023546646.4299999</v>
      </c>
      <c r="C48" s="280">
        <f>ВС!C47+ЛП!C47</f>
        <v>28031446.120000001</v>
      </c>
      <c r="D48" s="280">
        <f>ВС!D47+ЛП!D47</f>
        <v>995515200.30999994</v>
      </c>
      <c r="E48" s="280">
        <f>ВС!E47+ЛП!E47</f>
        <v>4411723.16</v>
      </c>
      <c r="F48" s="297">
        <f t="shared" si="1"/>
        <v>20</v>
      </c>
      <c r="G48" s="282">
        <f>ВС!G47+ЛП!G47</f>
        <v>882344.63</v>
      </c>
      <c r="H48" s="283">
        <f>ВС!H47+ЛП!H47</f>
        <v>5294067.79</v>
      </c>
      <c r="I48" s="283">
        <f>ВС!I47+ЛП!I47</f>
        <v>15213559.33</v>
      </c>
      <c r="J48" s="284">
        <f t="shared" ref="J48:J59" si="19">IF(I48=0,"-",A48+19)</f>
        <v>44581</v>
      </c>
      <c r="K48" s="283">
        <f>ВС!K47+ЛП!K47</f>
        <v>1017040267.9299999</v>
      </c>
      <c r="L48" s="283">
        <f>ВС!L47+ЛП!L47</f>
        <v>28700090.219999999</v>
      </c>
      <c r="M48" s="283">
        <f>ВС!M47+ЛП!M47</f>
        <v>988340177.71000004</v>
      </c>
      <c r="N48" s="283">
        <f>ВС!N47+ЛП!N47</f>
        <v>110290957.18000001</v>
      </c>
    </row>
    <row r="49" spans="1:14" x14ac:dyDescent="0.3">
      <c r="A49" s="298">
        <v>44593</v>
      </c>
      <c r="B49" s="299">
        <f>ВС!B48+ЛП!B48</f>
        <v>1017040267.9299999</v>
      </c>
      <c r="C49" s="299">
        <f>ВС!C48+ЛП!C48</f>
        <v>28700090.219999999</v>
      </c>
      <c r="D49" s="299">
        <f>ВС!D48+ЛП!D48</f>
        <v>988340177.71000004</v>
      </c>
      <c r="E49" s="299">
        <f>ВС!E48+ЛП!E48</f>
        <v>4411723.16</v>
      </c>
      <c r="F49" s="300">
        <f t="shared" si="1"/>
        <v>20</v>
      </c>
      <c r="G49" s="301">
        <f>ВС!G48+ЛП!G48</f>
        <v>882344.63</v>
      </c>
      <c r="H49" s="302">
        <f>ВС!H48+ЛП!H48</f>
        <v>5294067.79</v>
      </c>
      <c r="I49" s="302">
        <f>ВС!I48+ЛП!I48</f>
        <v>0</v>
      </c>
      <c r="J49" s="303" t="str">
        <f t="shared" si="19"/>
        <v>-</v>
      </c>
      <c r="K49" s="302">
        <f>ВС!K48+ЛП!K48</f>
        <v>1017040267.9299999</v>
      </c>
      <c r="L49" s="302">
        <f>ВС!L48+ЛП!L48</f>
        <v>28700090.219999999</v>
      </c>
      <c r="M49" s="302">
        <f>ВС!M48+ЛП!M48</f>
        <v>988340177.71000004</v>
      </c>
      <c r="N49" s="302">
        <f>ВС!N48+ЛП!N48</f>
        <v>110290957.18000001</v>
      </c>
    </row>
    <row r="50" spans="1:14" x14ac:dyDescent="0.3">
      <c r="A50" s="298">
        <v>44621</v>
      </c>
      <c r="B50" s="299">
        <f>ВС!B49+ЛП!B49</f>
        <v>1017040267.9299999</v>
      </c>
      <c r="C50" s="299">
        <f>ВС!C49+ЛП!C49</f>
        <v>28700090.219999999</v>
      </c>
      <c r="D50" s="299">
        <f>ВС!D49+ЛП!D49</f>
        <v>988340177.71000004</v>
      </c>
      <c r="E50" s="299">
        <f>ВС!E49+ЛП!E49</f>
        <v>4411723.16</v>
      </c>
      <c r="F50" s="300">
        <f t="shared" si="1"/>
        <v>20</v>
      </c>
      <c r="G50" s="301">
        <f>ВС!G49+ЛП!G49</f>
        <v>882344.63</v>
      </c>
      <c r="H50" s="302">
        <f>ВС!H49+ЛП!H49</f>
        <v>5294067.79</v>
      </c>
      <c r="I50" s="302">
        <f>ВС!I49+ЛП!I49</f>
        <v>0</v>
      </c>
      <c r="J50" s="303" t="str">
        <f t="shared" si="19"/>
        <v>-</v>
      </c>
      <c r="K50" s="302">
        <f>ВС!K49+ЛП!K49</f>
        <v>1017040267.9299999</v>
      </c>
      <c r="L50" s="302">
        <f>ВС!L49+ЛП!L49</f>
        <v>28700090.219999999</v>
      </c>
      <c r="M50" s="302">
        <f>ВС!M49+ЛП!M49</f>
        <v>988340177.71000004</v>
      </c>
      <c r="N50" s="302">
        <f>ВС!N49+ЛП!N49</f>
        <v>110290957.18000001</v>
      </c>
    </row>
    <row r="51" spans="1:14" x14ac:dyDescent="0.3">
      <c r="A51" s="298">
        <v>44652</v>
      </c>
      <c r="B51" s="299">
        <f>ВС!B50+ЛП!B50</f>
        <v>1017040267.9299999</v>
      </c>
      <c r="C51" s="299">
        <f>ВС!C50+ЛП!C50</f>
        <v>28700090.219999999</v>
      </c>
      <c r="D51" s="299">
        <f>ВС!D50+ЛП!D50</f>
        <v>988340177.71000004</v>
      </c>
      <c r="E51" s="299">
        <f>ВС!E50+ЛП!E50</f>
        <v>4411723.16</v>
      </c>
      <c r="F51" s="300">
        <f t="shared" si="1"/>
        <v>20</v>
      </c>
      <c r="G51" s="301">
        <f>ВС!G50+ЛП!G50</f>
        <v>882344.63</v>
      </c>
      <c r="H51" s="302">
        <f>ВС!H50+ЛП!H50</f>
        <v>5294067.79</v>
      </c>
      <c r="I51" s="302">
        <f>ВС!I50+ЛП!I50</f>
        <v>15882203.369999999</v>
      </c>
      <c r="J51" s="303">
        <f t="shared" si="19"/>
        <v>44671</v>
      </c>
      <c r="K51" s="302">
        <f>ВС!K50+ЛП!K50</f>
        <v>1009865245.39</v>
      </c>
      <c r="L51" s="302">
        <f>ВС!L50+ЛП!L50</f>
        <v>29386530.93</v>
      </c>
      <c r="M51" s="302">
        <f>ВС!M50+ЛП!M50</f>
        <v>980478714.46000004</v>
      </c>
      <c r="N51" s="302">
        <f>ВС!N50+ЛП!N50</f>
        <v>118998138.01000001</v>
      </c>
    </row>
    <row r="52" spans="1:14" x14ac:dyDescent="0.3">
      <c r="A52" s="298">
        <v>44682</v>
      </c>
      <c r="B52" s="299">
        <f>ВС!B51+ЛП!B51</f>
        <v>1009865245.39</v>
      </c>
      <c r="C52" s="299">
        <f>ВС!C51+ЛП!C51</f>
        <v>29386530.93</v>
      </c>
      <c r="D52" s="299">
        <f>ВС!D51+ЛП!D51</f>
        <v>980478714.46000004</v>
      </c>
      <c r="E52" s="299">
        <f>ВС!E51+ЛП!E51</f>
        <v>4411723.16</v>
      </c>
      <c r="F52" s="300">
        <f t="shared" si="1"/>
        <v>20</v>
      </c>
      <c r="G52" s="301">
        <f>ВС!G51+ЛП!G51</f>
        <v>882344.63</v>
      </c>
      <c r="H52" s="302">
        <f>ВС!H51+ЛП!H51</f>
        <v>5294067.79</v>
      </c>
      <c r="I52" s="302">
        <f>ВС!I51+ЛП!I51</f>
        <v>0</v>
      </c>
      <c r="J52" s="303" t="str">
        <f t="shared" si="19"/>
        <v>-</v>
      </c>
      <c r="K52" s="302">
        <f>ВС!K51+ЛП!K51</f>
        <v>1009865245.39</v>
      </c>
      <c r="L52" s="302">
        <f>ВС!L51+ЛП!L51</f>
        <v>29386530.93</v>
      </c>
      <c r="M52" s="302">
        <f>ВС!M51+ЛП!M51</f>
        <v>980478714.46000004</v>
      </c>
      <c r="N52" s="302">
        <f>ВС!N51+ЛП!N51</f>
        <v>118998138.01000001</v>
      </c>
    </row>
    <row r="53" spans="1:14" x14ac:dyDescent="0.3">
      <c r="A53" s="298">
        <v>44713</v>
      </c>
      <c r="B53" s="299">
        <f>ВС!B52+ЛП!B52</f>
        <v>1009865245.39</v>
      </c>
      <c r="C53" s="299">
        <f>ВС!C52+ЛП!C52</f>
        <v>29386530.93</v>
      </c>
      <c r="D53" s="299">
        <f>ВС!D52+ЛП!D52</f>
        <v>980478714.46000004</v>
      </c>
      <c r="E53" s="299">
        <f>ВС!E52+ЛП!E52</f>
        <v>4411723.16</v>
      </c>
      <c r="F53" s="300">
        <f t="shared" si="1"/>
        <v>20</v>
      </c>
      <c r="G53" s="301">
        <f>ВС!G52+ЛП!G52</f>
        <v>882344.63</v>
      </c>
      <c r="H53" s="302">
        <f>ВС!H52+ЛП!H52</f>
        <v>5294067.79</v>
      </c>
      <c r="I53" s="302">
        <f>ВС!I52+ЛП!I52</f>
        <v>0</v>
      </c>
      <c r="J53" s="303" t="str">
        <f t="shared" si="19"/>
        <v>-</v>
      </c>
      <c r="K53" s="302">
        <f>ВС!K52+ЛП!K52</f>
        <v>1009865245.39</v>
      </c>
      <c r="L53" s="302">
        <f>ВС!L52+ЛП!L52</f>
        <v>29386530.93</v>
      </c>
      <c r="M53" s="302">
        <f>ВС!M52+ЛП!M52</f>
        <v>980478714.46000004</v>
      </c>
      <c r="N53" s="302">
        <f>ВС!N52+ЛП!N52</f>
        <v>118998138.01000001</v>
      </c>
    </row>
    <row r="54" spans="1:14" x14ac:dyDescent="0.3">
      <c r="A54" s="298">
        <v>44743</v>
      </c>
      <c r="B54" s="299">
        <f>ВС!B53+ЛП!B53</f>
        <v>1009865245.39</v>
      </c>
      <c r="C54" s="299">
        <f>ВС!C53+ЛП!C53</f>
        <v>29386530.93</v>
      </c>
      <c r="D54" s="299">
        <f>ВС!D53+ЛП!D53</f>
        <v>980478714.46000004</v>
      </c>
      <c r="E54" s="299">
        <f>ВС!E53+ЛП!E53</f>
        <v>4411723.16</v>
      </c>
      <c r="F54" s="300">
        <f t="shared" si="1"/>
        <v>20</v>
      </c>
      <c r="G54" s="301">
        <f>ВС!G53+ЛП!G53</f>
        <v>882344.63</v>
      </c>
      <c r="H54" s="302">
        <f>ВС!H53+ЛП!H53</f>
        <v>5294067.79</v>
      </c>
      <c r="I54" s="302">
        <f>ВС!I53+ЛП!I53</f>
        <v>15882203.369999999</v>
      </c>
      <c r="J54" s="303">
        <f t="shared" si="19"/>
        <v>44762</v>
      </c>
      <c r="K54" s="302">
        <f>ВС!K53+ЛП!K53</f>
        <v>1002690222.85</v>
      </c>
      <c r="L54" s="302">
        <f>ВС!L53+ЛП!L53</f>
        <v>30072971.640000001</v>
      </c>
      <c r="M54" s="302">
        <f>ВС!M53+ЛП!M53</f>
        <v>972617251.21000004</v>
      </c>
      <c r="N54" s="302">
        <f>ВС!N53+ЛП!N53</f>
        <v>127705318.84</v>
      </c>
    </row>
    <row r="55" spans="1:14" x14ac:dyDescent="0.3">
      <c r="A55" s="298">
        <v>44774</v>
      </c>
      <c r="B55" s="299">
        <f>ВС!B54+ЛП!B54</f>
        <v>1002690222.85</v>
      </c>
      <c r="C55" s="299">
        <f>ВС!C54+ЛП!C54</f>
        <v>30072971.640000001</v>
      </c>
      <c r="D55" s="299">
        <f>ВС!D54+ЛП!D54</f>
        <v>972617251.21000004</v>
      </c>
      <c r="E55" s="299">
        <f>ВС!E54+ЛП!E54</f>
        <v>4411723.16</v>
      </c>
      <c r="F55" s="300">
        <f t="shared" si="1"/>
        <v>20</v>
      </c>
      <c r="G55" s="301">
        <f>ВС!G54+ЛП!G54</f>
        <v>882344.63</v>
      </c>
      <c r="H55" s="302">
        <f>ВС!H54+ЛП!H54</f>
        <v>5294067.79</v>
      </c>
      <c r="I55" s="302">
        <f>ВС!I54+ЛП!I54</f>
        <v>0</v>
      </c>
      <c r="J55" s="303" t="str">
        <f t="shared" si="19"/>
        <v>-</v>
      </c>
      <c r="K55" s="302">
        <f>ВС!K54+ЛП!K54</f>
        <v>1002690222.85</v>
      </c>
      <c r="L55" s="302">
        <f>ВС!L54+ЛП!L54</f>
        <v>30072971.640000001</v>
      </c>
      <c r="M55" s="302">
        <f>ВС!M54+ЛП!M54</f>
        <v>972617251.21000004</v>
      </c>
      <c r="N55" s="302">
        <f>ВС!N54+ЛП!N54</f>
        <v>127705318.84</v>
      </c>
    </row>
    <row r="56" spans="1:14" x14ac:dyDescent="0.3">
      <c r="A56" s="298">
        <v>44805</v>
      </c>
      <c r="B56" s="299">
        <f>ВС!B55+ЛП!B55</f>
        <v>1002690222.85</v>
      </c>
      <c r="C56" s="299">
        <f>ВС!C55+ЛП!C55</f>
        <v>30072971.640000001</v>
      </c>
      <c r="D56" s="299">
        <f>ВС!D55+ЛП!D55</f>
        <v>972617251.21000004</v>
      </c>
      <c r="E56" s="299">
        <f>ВС!E55+ЛП!E55</f>
        <v>4411723.16</v>
      </c>
      <c r="F56" s="300">
        <f t="shared" si="1"/>
        <v>20</v>
      </c>
      <c r="G56" s="301">
        <f>ВС!G55+ЛП!G55</f>
        <v>882344.63</v>
      </c>
      <c r="H56" s="302">
        <f>ВС!H55+ЛП!H55</f>
        <v>5294067.79</v>
      </c>
      <c r="I56" s="302">
        <f>ВС!I55+ЛП!I55</f>
        <v>0</v>
      </c>
      <c r="J56" s="303" t="str">
        <f t="shared" si="19"/>
        <v>-</v>
      </c>
      <c r="K56" s="302">
        <f>ВС!K55+ЛП!K55</f>
        <v>1002690222.85</v>
      </c>
      <c r="L56" s="302">
        <f>ВС!L55+ЛП!L55</f>
        <v>30072971.640000001</v>
      </c>
      <c r="M56" s="302">
        <f>ВС!M55+ЛП!M55</f>
        <v>972617251.21000004</v>
      </c>
      <c r="N56" s="302">
        <f>ВС!N55+ЛП!N55</f>
        <v>127705318.84</v>
      </c>
    </row>
    <row r="57" spans="1:14" x14ac:dyDescent="0.3">
      <c r="A57" s="298">
        <v>44835</v>
      </c>
      <c r="B57" s="299">
        <f>ВС!B56+ЛП!B56</f>
        <v>1002690222.85</v>
      </c>
      <c r="C57" s="299">
        <f>ВС!C56+ЛП!C56</f>
        <v>30072971.640000001</v>
      </c>
      <c r="D57" s="299">
        <f>ВС!D56+ЛП!D56</f>
        <v>972617251.21000004</v>
      </c>
      <c r="E57" s="299">
        <f>ВС!E56+ЛП!E56</f>
        <v>4411723.16</v>
      </c>
      <c r="F57" s="300">
        <f t="shared" si="1"/>
        <v>20</v>
      </c>
      <c r="G57" s="301">
        <f>ВС!G56+ЛП!G56</f>
        <v>882344.63</v>
      </c>
      <c r="H57" s="302">
        <f>ВС!H56+ЛП!H56</f>
        <v>5294067.79</v>
      </c>
      <c r="I57" s="302">
        <f>ВС!I56+ЛП!I56</f>
        <v>15882203.369999999</v>
      </c>
      <c r="J57" s="303">
        <f t="shared" si="19"/>
        <v>44854</v>
      </c>
      <c r="K57" s="302">
        <f>ВС!K56+ЛП!K56</f>
        <v>995515200.30999994</v>
      </c>
      <c r="L57" s="302">
        <f>ВС!L56+ЛП!L56</f>
        <v>30759412.350000001</v>
      </c>
      <c r="M57" s="302">
        <f>ВС!M56+ЛП!M56</f>
        <v>964755787.96000004</v>
      </c>
      <c r="N57" s="302">
        <f>ВС!N56+ЛП!N56</f>
        <v>136412499.66999999</v>
      </c>
    </row>
    <row r="58" spans="1:14" x14ac:dyDescent="0.3">
      <c r="A58" s="298">
        <v>44866</v>
      </c>
      <c r="B58" s="299">
        <f>ВС!B57+ЛП!B57</f>
        <v>995515200.30999994</v>
      </c>
      <c r="C58" s="299">
        <f>ВС!C57+ЛП!C57</f>
        <v>30759412.350000001</v>
      </c>
      <c r="D58" s="299">
        <f>ВС!D57+ЛП!D57</f>
        <v>964755787.96000004</v>
      </c>
      <c r="E58" s="299">
        <f>ВС!E57+ЛП!E57</f>
        <v>4411723.16</v>
      </c>
      <c r="F58" s="300">
        <f t="shared" si="1"/>
        <v>20</v>
      </c>
      <c r="G58" s="301">
        <f>ВС!G57+ЛП!G57</f>
        <v>882344.63</v>
      </c>
      <c r="H58" s="302">
        <f>ВС!H57+ЛП!H57</f>
        <v>5294067.79</v>
      </c>
      <c r="I58" s="302">
        <f>ВС!I57+ЛП!I57</f>
        <v>0</v>
      </c>
      <c r="J58" s="303" t="str">
        <f t="shared" si="19"/>
        <v>-</v>
      </c>
      <c r="K58" s="302">
        <f>ВС!K57+ЛП!K57</f>
        <v>995515200.30999994</v>
      </c>
      <c r="L58" s="302">
        <f>ВС!L57+ЛП!L57</f>
        <v>30759412.350000001</v>
      </c>
      <c r="M58" s="302">
        <f>ВС!M57+ЛП!M57</f>
        <v>964755787.96000004</v>
      </c>
      <c r="N58" s="302">
        <f>ВС!N57+ЛП!N57</f>
        <v>136412499.66999999</v>
      </c>
    </row>
    <row r="59" spans="1:14" ht="19.5" thickBot="1" x14ac:dyDescent="0.35">
      <c r="A59" s="285">
        <v>44896</v>
      </c>
      <c r="B59" s="286">
        <f>ВС!B58+ЛП!B58</f>
        <v>995515200.30999994</v>
      </c>
      <c r="C59" s="286">
        <f>ВС!C58+ЛП!C58</f>
        <v>30759412.350000001</v>
      </c>
      <c r="D59" s="286">
        <f>ВС!D58+ЛП!D58</f>
        <v>964755787.96000004</v>
      </c>
      <c r="E59" s="286">
        <f>ВС!E58+ЛП!E58</f>
        <v>4411723.21</v>
      </c>
      <c r="F59" s="304">
        <f t="shared" si="1"/>
        <v>20</v>
      </c>
      <c r="G59" s="288">
        <f>ВС!G58+ЛП!G58</f>
        <v>882344.64</v>
      </c>
      <c r="H59" s="289">
        <f>ВС!H58+ЛП!H58</f>
        <v>5294067.8499999996</v>
      </c>
      <c r="I59" s="289">
        <f>ВС!I58+ЛП!I58</f>
        <v>0</v>
      </c>
      <c r="J59" s="290" t="str">
        <f t="shared" si="19"/>
        <v>-</v>
      </c>
      <c r="K59" s="289">
        <f>ВС!K58+ЛП!K58</f>
        <v>995515200.30999994</v>
      </c>
      <c r="L59" s="289">
        <f>ВС!L58+ЛП!L58</f>
        <v>30759412.350000001</v>
      </c>
      <c r="M59" s="289">
        <f>ВС!M58+ЛП!M58</f>
        <v>964755787.96000004</v>
      </c>
      <c r="N59" s="289">
        <f>ВС!N58+ЛП!N58</f>
        <v>136412499.66999999</v>
      </c>
    </row>
    <row r="60" spans="1:14" s="306" customFormat="1" ht="19.5" thickBot="1" x14ac:dyDescent="0.35">
      <c r="A60" s="291">
        <v>2022</v>
      </c>
      <c r="B60" s="292">
        <f t="shared" ref="B60:D60" si="20">B48</f>
        <v>1023546646.4299999</v>
      </c>
      <c r="C60" s="292">
        <f t="shared" si="20"/>
        <v>28031446.120000001</v>
      </c>
      <c r="D60" s="292">
        <f t="shared" si="20"/>
        <v>995515200.30999994</v>
      </c>
      <c r="E60" s="292">
        <f t="shared" ref="E60" si="21">SUM(E48:E59)</f>
        <v>52940677.969999999</v>
      </c>
      <c r="F60" s="305">
        <f t="shared" si="1"/>
        <v>20</v>
      </c>
      <c r="G60" s="294">
        <f t="shared" ref="G60:I60" si="22">SUM(G48:G59)</f>
        <v>10588135.57</v>
      </c>
      <c r="H60" s="295">
        <f t="shared" si="22"/>
        <v>63528813.539999999</v>
      </c>
      <c r="I60" s="295">
        <f t="shared" si="22"/>
        <v>62860169.439999998</v>
      </c>
      <c r="J60" s="296"/>
      <c r="K60" s="295">
        <f t="shared" ref="K60:N60" si="23">K59</f>
        <v>995515200.30999994</v>
      </c>
      <c r="L60" s="295">
        <f t="shared" si="23"/>
        <v>30759412.350000001</v>
      </c>
      <c r="M60" s="295">
        <f t="shared" si="23"/>
        <v>964755787.96000004</v>
      </c>
      <c r="N60" s="295">
        <f t="shared" si="23"/>
        <v>136412499.66999999</v>
      </c>
    </row>
    <row r="61" spans="1:14" x14ac:dyDescent="0.3">
      <c r="A61" s="279">
        <v>44927</v>
      </c>
      <c r="B61" s="280">
        <f>ВС!B60+ЛП!B60</f>
        <v>995515200.30999994</v>
      </c>
      <c r="C61" s="280">
        <f>ВС!C60+ЛП!C60</f>
        <v>30759412.350000001</v>
      </c>
      <c r="D61" s="280">
        <f>ВС!D60+ЛП!D60</f>
        <v>964755787.96000004</v>
      </c>
      <c r="E61" s="280">
        <f>ВС!E60+ЛП!E60</f>
        <v>4602401.13</v>
      </c>
      <c r="F61" s="297">
        <f t="shared" si="1"/>
        <v>20</v>
      </c>
      <c r="G61" s="282">
        <f>ВС!G60+ЛП!G60</f>
        <v>920480.23</v>
      </c>
      <c r="H61" s="283">
        <f>ВС!H60+ЛП!H60</f>
        <v>5522881.3600000003</v>
      </c>
      <c r="I61" s="283">
        <f>ВС!I60+ЛП!I60</f>
        <v>15882203.43</v>
      </c>
      <c r="J61" s="284">
        <f t="shared" ref="J61:J72" si="24">IF(I61=0,"-",A61+19)</f>
        <v>44946</v>
      </c>
      <c r="K61" s="283">
        <f>ВС!K60+ЛП!K60</f>
        <v>988340177.71000004</v>
      </c>
      <c r="L61" s="283">
        <f>ВС!L60+ЛП!L60</f>
        <v>31445853</v>
      </c>
      <c r="M61" s="283">
        <f>ВС!M60+ЛП!M60</f>
        <v>956894324.71000004</v>
      </c>
      <c r="N61" s="283">
        <f>ВС!N60+ЛП!N60</f>
        <v>145119680.5</v>
      </c>
    </row>
    <row r="62" spans="1:14" x14ac:dyDescent="0.3">
      <c r="A62" s="298">
        <v>44958</v>
      </c>
      <c r="B62" s="299">
        <f>ВС!B61+ЛП!B61</f>
        <v>988340177.71000004</v>
      </c>
      <c r="C62" s="299">
        <f>ВС!C61+ЛП!C61</f>
        <v>31445853</v>
      </c>
      <c r="D62" s="299">
        <f>ВС!D61+ЛП!D61</f>
        <v>956894324.71000004</v>
      </c>
      <c r="E62" s="299">
        <f>ВС!E61+ЛП!E61</f>
        <v>4602401.13</v>
      </c>
      <c r="F62" s="300">
        <f t="shared" si="1"/>
        <v>20</v>
      </c>
      <c r="G62" s="301">
        <f>ВС!G61+ЛП!G61</f>
        <v>920480.23</v>
      </c>
      <c r="H62" s="302">
        <f>ВС!H61+ЛП!H61</f>
        <v>5522881.3600000003</v>
      </c>
      <c r="I62" s="302">
        <f>ВС!I61+ЛП!I61</f>
        <v>0</v>
      </c>
      <c r="J62" s="303" t="str">
        <f t="shared" si="24"/>
        <v>-</v>
      </c>
      <c r="K62" s="302">
        <f>ВС!K61+ЛП!K61</f>
        <v>988340177.71000004</v>
      </c>
      <c r="L62" s="302">
        <f>ВС!L61+ЛП!L61</f>
        <v>31445853</v>
      </c>
      <c r="M62" s="302">
        <f>ВС!M61+ЛП!M61</f>
        <v>956894324.71000004</v>
      </c>
      <c r="N62" s="302">
        <f>ВС!N61+ЛП!N61</f>
        <v>145119680.5</v>
      </c>
    </row>
    <row r="63" spans="1:14" x14ac:dyDescent="0.3">
      <c r="A63" s="298">
        <v>44986</v>
      </c>
      <c r="B63" s="299">
        <f>ВС!B62+ЛП!B62</f>
        <v>988340177.71000004</v>
      </c>
      <c r="C63" s="299">
        <f>ВС!C62+ЛП!C62</f>
        <v>31445853</v>
      </c>
      <c r="D63" s="299">
        <f>ВС!D62+ЛП!D62</f>
        <v>956894324.71000004</v>
      </c>
      <c r="E63" s="299">
        <f>ВС!E62+ЛП!E62</f>
        <v>4602401.13</v>
      </c>
      <c r="F63" s="300">
        <f t="shared" si="1"/>
        <v>20</v>
      </c>
      <c r="G63" s="301">
        <f>ВС!G62+ЛП!G62</f>
        <v>920480.23</v>
      </c>
      <c r="H63" s="302">
        <f>ВС!H62+ЛП!H62</f>
        <v>5522881.3600000003</v>
      </c>
      <c r="I63" s="302">
        <f>ВС!I62+ЛП!I62</f>
        <v>0</v>
      </c>
      <c r="J63" s="303" t="str">
        <f t="shared" si="24"/>
        <v>-</v>
      </c>
      <c r="K63" s="302">
        <f>ВС!K62+ЛП!K62</f>
        <v>988340177.71000004</v>
      </c>
      <c r="L63" s="302">
        <f>ВС!L62+ЛП!L62</f>
        <v>31445853</v>
      </c>
      <c r="M63" s="302">
        <f>ВС!M62+ЛП!M62</f>
        <v>956894324.71000004</v>
      </c>
      <c r="N63" s="302">
        <f>ВС!N62+ЛП!N62</f>
        <v>145119680.5</v>
      </c>
    </row>
    <row r="64" spans="1:14" x14ac:dyDescent="0.3">
      <c r="A64" s="298">
        <v>45017</v>
      </c>
      <c r="B64" s="299">
        <f>ВС!B63+ЛП!B63</f>
        <v>988340177.71000004</v>
      </c>
      <c r="C64" s="299">
        <f>ВС!C63+ЛП!C63</f>
        <v>31445853</v>
      </c>
      <c r="D64" s="299">
        <f>ВС!D63+ЛП!D63</f>
        <v>956894324.71000004</v>
      </c>
      <c r="E64" s="299">
        <f>ВС!E63+ЛП!E63</f>
        <v>4602401.13</v>
      </c>
      <c r="F64" s="300">
        <f t="shared" si="1"/>
        <v>20</v>
      </c>
      <c r="G64" s="301">
        <f>ВС!G63+ЛП!G63</f>
        <v>920480.23</v>
      </c>
      <c r="H64" s="302">
        <f>ВС!H63+ЛП!H63</f>
        <v>5522881.3600000003</v>
      </c>
      <c r="I64" s="302">
        <f>ВС!I63+ЛП!I63</f>
        <v>16568644.08</v>
      </c>
      <c r="J64" s="303">
        <f t="shared" si="24"/>
        <v>45036</v>
      </c>
      <c r="K64" s="302">
        <f>ВС!K63+ЛП!K63</f>
        <v>980478714.46000004</v>
      </c>
      <c r="L64" s="302">
        <f>ВС!L63+ЛП!L63</f>
        <v>32147547.899999999</v>
      </c>
      <c r="M64" s="302">
        <f>ВС!M63+ЛП!M63</f>
        <v>948331166.55999994</v>
      </c>
      <c r="N64" s="302">
        <f>ВС!N63+ЛП!N63</f>
        <v>153826861.33000001</v>
      </c>
    </row>
    <row r="65" spans="1:14" x14ac:dyDescent="0.3">
      <c r="A65" s="298">
        <v>45047</v>
      </c>
      <c r="B65" s="299">
        <f>ВС!B64+ЛП!B64</f>
        <v>980478714.46000004</v>
      </c>
      <c r="C65" s="299">
        <f>ВС!C64+ЛП!C64</f>
        <v>32147547.899999999</v>
      </c>
      <c r="D65" s="299">
        <f>ВС!D64+ЛП!D64</f>
        <v>948331166.55999994</v>
      </c>
      <c r="E65" s="299">
        <f>ВС!E64+ЛП!E64</f>
        <v>4602401.13</v>
      </c>
      <c r="F65" s="300">
        <f t="shared" si="1"/>
        <v>20</v>
      </c>
      <c r="G65" s="301">
        <f>ВС!G64+ЛП!G64</f>
        <v>920480.23</v>
      </c>
      <c r="H65" s="302">
        <f>ВС!H64+ЛП!H64</f>
        <v>5522881.3600000003</v>
      </c>
      <c r="I65" s="302">
        <f>ВС!I64+ЛП!I64</f>
        <v>0</v>
      </c>
      <c r="J65" s="303" t="str">
        <f t="shared" si="24"/>
        <v>-</v>
      </c>
      <c r="K65" s="302">
        <f>ВС!K64+ЛП!K64</f>
        <v>980478714.46000004</v>
      </c>
      <c r="L65" s="302">
        <f>ВС!L64+ЛП!L64</f>
        <v>32147547.899999999</v>
      </c>
      <c r="M65" s="302">
        <f>ВС!M64+ЛП!M64</f>
        <v>948331166.55999994</v>
      </c>
      <c r="N65" s="302">
        <f>ВС!N64+ЛП!N64</f>
        <v>153826861.33000001</v>
      </c>
    </row>
    <row r="66" spans="1:14" x14ac:dyDescent="0.3">
      <c r="A66" s="298">
        <v>45078</v>
      </c>
      <c r="B66" s="299">
        <f>ВС!B65+ЛП!B65</f>
        <v>980478714.46000004</v>
      </c>
      <c r="C66" s="299">
        <f>ВС!C65+ЛП!C65</f>
        <v>32147547.899999999</v>
      </c>
      <c r="D66" s="299">
        <f>ВС!D65+ЛП!D65</f>
        <v>948331166.55999994</v>
      </c>
      <c r="E66" s="299">
        <f>ВС!E65+ЛП!E65</f>
        <v>4602401.13</v>
      </c>
      <c r="F66" s="300">
        <f t="shared" si="1"/>
        <v>20</v>
      </c>
      <c r="G66" s="301">
        <f>ВС!G65+ЛП!G65</f>
        <v>920480.23</v>
      </c>
      <c r="H66" s="302">
        <f>ВС!H65+ЛП!H65</f>
        <v>5522881.3600000003</v>
      </c>
      <c r="I66" s="302">
        <f>ВС!I65+ЛП!I65</f>
        <v>0</v>
      </c>
      <c r="J66" s="303" t="str">
        <f t="shared" si="24"/>
        <v>-</v>
      </c>
      <c r="K66" s="302">
        <f>ВС!K65+ЛП!K65</f>
        <v>980478714.46000004</v>
      </c>
      <c r="L66" s="302">
        <f>ВС!L65+ЛП!L65</f>
        <v>32147547.899999999</v>
      </c>
      <c r="M66" s="302">
        <f>ВС!M65+ЛП!M65</f>
        <v>948331166.55999994</v>
      </c>
      <c r="N66" s="302">
        <f>ВС!N65+ЛП!N65</f>
        <v>153826861.33000001</v>
      </c>
    </row>
    <row r="67" spans="1:14" x14ac:dyDescent="0.3">
      <c r="A67" s="298">
        <v>45108</v>
      </c>
      <c r="B67" s="299">
        <f>ВС!B66+ЛП!B66</f>
        <v>980478714.46000004</v>
      </c>
      <c r="C67" s="299">
        <f>ВС!C66+ЛП!C66</f>
        <v>32147547.899999999</v>
      </c>
      <c r="D67" s="299">
        <f>ВС!D66+ЛП!D66</f>
        <v>948331166.55999994</v>
      </c>
      <c r="E67" s="299">
        <f>ВС!E66+ЛП!E66</f>
        <v>4602401.13</v>
      </c>
      <c r="F67" s="300">
        <f t="shared" si="1"/>
        <v>20</v>
      </c>
      <c r="G67" s="301">
        <f>ВС!G66+ЛП!G66</f>
        <v>920480.23</v>
      </c>
      <c r="H67" s="302">
        <f>ВС!H66+ЛП!H66</f>
        <v>5522881.3600000003</v>
      </c>
      <c r="I67" s="302">
        <f>ВС!I66+ЛП!I66</f>
        <v>16568644.08</v>
      </c>
      <c r="J67" s="303">
        <f t="shared" si="24"/>
        <v>45127</v>
      </c>
      <c r="K67" s="302">
        <f>ВС!K66+ЛП!K66</f>
        <v>972617251.21000004</v>
      </c>
      <c r="L67" s="302">
        <f>ВС!L66+ЛП!L66</f>
        <v>32849242.800000001</v>
      </c>
      <c r="M67" s="302">
        <f>ВС!M66+ЛП!M66</f>
        <v>939768008.40999997</v>
      </c>
      <c r="N67" s="302">
        <f>ВС!N66+ЛП!N66</f>
        <v>162534042.16</v>
      </c>
    </row>
    <row r="68" spans="1:14" x14ac:dyDescent="0.3">
      <c r="A68" s="298">
        <v>45139</v>
      </c>
      <c r="B68" s="299">
        <f>ВС!B67+ЛП!B67</f>
        <v>972617251.21000004</v>
      </c>
      <c r="C68" s="299">
        <f>ВС!C67+ЛП!C67</f>
        <v>32849242.800000001</v>
      </c>
      <c r="D68" s="299">
        <f>ВС!D67+ЛП!D67</f>
        <v>939768008.40999997</v>
      </c>
      <c r="E68" s="299">
        <f>ВС!E67+ЛП!E67</f>
        <v>4602401.13</v>
      </c>
      <c r="F68" s="300">
        <f t="shared" si="1"/>
        <v>20</v>
      </c>
      <c r="G68" s="301">
        <f>ВС!G67+ЛП!G67</f>
        <v>920480.23</v>
      </c>
      <c r="H68" s="302">
        <f>ВС!H67+ЛП!H67</f>
        <v>5522881.3600000003</v>
      </c>
      <c r="I68" s="302">
        <f>ВС!I67+ЛП!I67</f>
        <v>0</v>
      </c>
      <c r="J68" s="303" t="str">
        <f t="shared" si="24"/>
        <v>-</v>
      </c>
      <c r="K68" s="302">
        <f>ВС!K67+ЛП!K67</f>
        <v>972617251.21000004</v>
      </c>
      <c r="L68" s="302">
        <f>ВС!L67+ЛП!L67</f>
        <v>32849242.800000001</v>
      </c>
      <c r="M68" s="302">
        <f>ВС!M67+ЛП!M67</f>
        <v>939768008.40999997</v>
      </c>
      <c r="N68" s="302">
        <f>ВС!N67+ЛП!N67</f>
        <v>162534042.16</v>
      </c>
    </row>
    <row r="69" spans="1:14" x14ac:dyDescent="0.3">
      <c r="A69" s="298">
        <v>45170</v>
      </c>
      <c r="B69" s="299">
        <f>ВС!B68+ЛП!B68</f>
        <v>972617251.21000004</v>
      </c>
      <c r="C69" s="299">
        <f>ВС!C68+ЛП!C68</f>
        <v>32849242.800000001</v>
      </c>
      <c r="D69" s="299">
        <f>ВС!D68+ЛП!D68</f>
        <v>939768008.40999997</v>
      </c>
      <c r="E69" s="299">
        <f>ВС!E68+ЛП!E68</f>
        <v>4602401.13</v>
      </c>
      <c r="F69" s="300">
        <f t="shared" si="1"/>
        <v>20</v>
      </c>
      <c r="G69" s="301">
        <f>ВС!G68+ЛП!G68</f>
        <v>920480.23</v>
      </c>
      <c r="H69" s="302">
        <f>ВС!H68+ЛП!H68</f>
        <v>5522881.3600000003</v>
      </c>
      <c r="I69" s="302">
        <f>ВС!I68+ЛП!I68</f>
        <v>0</v>
      </c>
      <c r="J69" s="303" t="str">
        <f t="shared" si="24"/>
        <v>-</v>
      </c>
      <c r="K69" s="302">
        <f>ВС!K68+ЛП!K68</f>
        <v>972617251.21000004</v>
      </c>
      <c r="L69" s="302">
        <f>ВС!L68+ЛП!L68</f>
        <v>32849242.800000001</v>
      </c>
      <c r="M69" s="302">
        <f>ВС!M68+ЛП!M68</f>
        <v>939768008.40999997</v>
      </c>
      <c r="N69" s="302">
        <f>ВС!N68+ЛП!N68</f>
        <v>162534042.16</v>
      </c>
    </row>
    <row r="70" spans="1:14" x14ac:dyDescent="0.3">
      <c r="A70" s="298">
        <v>45200</v>
      </c>
      <c r="B70" s="299">
        <f>ВС!B69+ЛП!B69</f>
        <v>972617251.21000004</v>
      </c>
      <c r="C70" s="299">
        <f>ВС!C69+ЛП!C69</f>
        <v>32849242.800000001</v>
      </c>
      <c r="D70" s="299">
        <f>ВС!D69+ЛП!D69</f>
        <v>939768008.40999997</v>
      </c>
      <c r="E70" s="299">
        <f>ВС!E69+ЛП!E69</f>
        <v>4602401.13</v>
      </c>
      <c r="F70" s="300">
        <f t="shared" si="1"/>
        <v>20</v>
      </c>
      <c r="G70" s="301">
        <f>ВС!G69+ЛП!G69</f>
        <v>920480.23</v>
      </c>
      <c r="H70" s="302">
        <f>ВС!H69+ЛП!H69</f>
        <v>5522881.3600000003</v>
      </c>
      <c r="I70" s="302">
        <f>ВС!I69+ЛП!I69</f>
        <v>16568644.08</v>
      </c>
      <c r="J70" s="303">
        <f t="shared" si="24"/>
        <v>45219</v>
      </c>
      <c r="K70" s="302">
        <f>ВС!K69+ЛП!K69</f>
        <v>964755787.96000004</v>
      </c>
      <c r="L70" s="302">
        <f>ВС!L69+ЛП!L69</f>
        <v>33550937.699999999</v>
      </c>
      <c r="M70" s="302">
        <f>ВС!M69+ЛП!M69</f>
        <v>931204850.25999999</v>
      </c>
      <c r="N70" s="302">
        <f>ВС!N69+ЛП!N69</f>
        <v>171241222.99000001</v>
      </c>
    </row>
    <row r="71" spans="1:14" x14ac:dyDescent="0.3">
      <c r="A71" s="298">
        <v>45231</v>
      </c>
      <c r="B71" s="299">
        <f>ВС!B70+ЛП!B70</f>
        <v>964755787.96000004</v>
      </c>
      <c r="C71" s="299">
        <f>ВС!C70+ЛП!C70</f>
        <v>33550937.699999999</v>
      </c>
      <c r="D71" s="299">
        <f>ВС!D70+ЛП!D70</f>
        <v>931204850.25999999</v>
      </c>
      <c r="E71" s="299">
        <f>ВС!E70+ЛП!E70</f>
        <v>4602401.13</v>
      </c>
      <c r="F71" s="300">
        <f t="shared" ref="F71:F134" si="25">G71/E71*100</f>
        <v>20</v>
      </c>
      <c r="G71" s="301">
        <f>ВС!G70+ЛП!G70</f>
        <v>920480.23</v>
      </c>
      <c r="H71" s="302">
        <f>ВС!H70+ЛП!H70</f>
        <v>5522881.3600000003</v>
      </c>
      <c r="I71" s="302">
        <f>ВС!I70+ЛП!I70</f>
        <v>0</v>
      </c>
      <c r="J71" s="303" t="str">
        <f t="shared" si="24"/>
        <v>-</v>
      </c>
      <c r="K71" s="302">
        <f>ВС!K70+ЛП!K70</f>
        <v>964755787.96000004</v>
      </c>
      <c r="L71" s="302">
        <f>ВС!L70+ЛП!L70</f>
        <v>33550937.699999999</v>
      </c>
      <c r="M71" s="302">
        <f>ВС!M70+ЛП!M70</f>
        <v>931204850.25999999</v>
      </c>
      <c r="N71" s="302">
        <f>ВС!N70+ЛП!N70</f>
        <v>171241222.99000001</v>
      </c>
    </row>
    <row r="72" spans="1:14" ht="19.5" thickBot="1" x14ac:dyDescent="0.35">
      <c r="A72" s="285">
        <v>45261</v>
      </c>
      <c r="B72" s="286">
        <f>ВС!B71+ЛП!B71</f>
        <v>964755787.96000004</v>
      </c>
      <c r="C72" s="286">
        <f>ВС!C71+ЛП!C71</f>
        <v>33550937.699999999</v>
      </c>
      <c r="D72" s="286">
        <f>ВС!D71+ЛП!D71</f>
        <v>931204850.25999999</v>
      </c>
      <c r="E72" s="286">
        <f>ВС!E71+ЛП!E71</f>
        <v>4602401.13</v>
      </c>
      <c r="F72" s="304">
        <f t="shared" si="25"/>
        <v>20</v>
      </c>
      <c r="G72" s="288">
        <f>ВС!G71+ЛП!G71</f>
        <v>920480.23</v>
      </c>
      <c r="H72" s="289">
        <f>ВС!H71+ЛП!H71</f>
        <v>5522881.3600000003</v>
      </c>
      <c r="I72" s="289">
        <f>ВС!I71+ЛП!I71</f>
        <v>0</v>
      </c>
      <c r="J72" s="290" t="str">
        <f t="shared" si="24"/>
        <v>-</v>
      </c>
      <c r="K72" s="289">
        <f>ВС!K71+ЛП!K71</f>
        <v>964755787.96000004</v>
      </c>
      <c r="L72" s="289">
        <f>ВС!L71+ЛП!L71</f>
        <v>33550937.699999999</v>
      </c>
      <c r="M72" s="289">
        <f>ВС!M71+ЛП!M71</f>
        <v>931204850.25999999</v>
      </c>
      <c r="N72" s="289">
        <f>ВС!N71+ЛП!N71</f>
        <v>171241222.99000001</v>
      </c>
    </row>
    <row r="73" spans="1:14" s="306" customFormat="1" ht="19.5" thickBot="1" x14ac:dyDescent="0.35">
      <c r="A73" s="291">
        <v>2023</v>
      </c>
      <c r="B73" s="292">
        <f t="shared" ref="B73:D73" si="26">B61</f>
        <v>995515200.30999994</v>
      </c>
      <c r="C73" s="292">
        <f t="shared" si="26"/>
        <v>30759412.350000001</v>
      </c>
      <c r="D73" s="292">
        <f t="shared" si="26"/>
        <v>964755787.96000004</v>
      </c>
      <c r="E73" s="292">
        <f t="shared" ref="E73" si="27">SUM(E61:E72)</f>
        <v>55228813.560000002</v>
      </c>
      <c r="F73" s="305">
        <f t="shared" si="25"/>
        <v>20</v>
      </c>
      <c r="G73" s="294">
        <f t="shared" ref="G73:I73" si="28">SUM(G61:G72)</f>
        <v>11045762.76</v>
      </c>
      <c r="H73" s="295">
        <f t="shared" si="28"/>
        <v>66274576.32</v>
      </c>
      <c r="I73" s="295">
        <f t="shared" si="28"/>
        <v>65588135.670000002</v>
      </c>
      <c r="J73" s="296"/>
      <c r="K73" s="295">
        <f t="shared" ref="K73:N73" si="29">K72</f>
        <v>964755787.96000004</v>
      </c>
      <c r="L73" s="295">
        <f t="shared" si="29"/>
        <v>33550937.699999999</v>
      </c>
      <c r="M73" s="295">
        <f t="shared" si="29"/>
        <v>931204850.25999999</v>
      </c>
      <c r="N73" s="295">
        <f t="shared" si="29"/>
        <v>171241222.99000001</v>
      </c>
    </row>
    <row r="74" spans="1:14" x14ac:dyDescent="0.3">
      <c r="A74" s="279">
        <v>45292</v>
      </c>
      <c r="B74" s="280">
        <f>ВС!B73+ЛП!B73</f>
        <v>964755787.96000004</v>
      </c>
      <c r="C74" s="280">
        <f>ВС!C73+ЛП!C73</f>
        <v>33550937.699999999</v>
      </c>
      <c r="D74" s="280">
        <f>ВС!D73+ЛП!D73</f>
        <v>931204850.25999999</v>
      </c>
      <c r="E74" s="280">
        <f>ВС!E73+ЛП!E73</f>
        <v>4797316.38</v>
      </c>
      <c r="F74" s="297">
        <f t="shared" si="25"/>
        <v>20</v>
      </c>
      <c r="G74" s="282">
        <f>ВС!G73+ЛП!G73</f>
        <v>959463.28</v>
      </c>
      <c r="H74" s="283">
        <f>ВС!H73+ЛП!H73</f>
        <v>5756779.6600000001</v>
      </c>
      <c r="I74" s="283">
        <f>ВС!I73+ЛП!I73</f>
        <v>16568644.08</v>
      </c>
      <c r="J74" s="284">
        <f t="shared" ref="J74:J85" si="30">IF(I74=0,"-",A74+19)</f>
        <v>45311</v>
      </c>
      <c r="K74" s="283">
        <f>ВС!K73+ЛП!K73</f>
        <v>956894324.71000004</v>
      </c>
      <c r="L74" s="283">
        <f>ВС!L73+ЛП!L73</f>
        <v>34252632.659999996</v>
      </c>
      <c r="M74" s="283">
        <f>ВС!M73+ЛП!M73</f>
        <v>922641692.04999995</v>
      </c>
      <c r="N74" s="283">
        <f>ВС!N73+ЛП!N73</f>
        <v>179948403.81999999</v>
      </c>
    </row>
    <row r="75" spans="1:14" x14ac:dyDescent="0.3">
      <c r="A75" s="298">
        <v>45323</v>
      </c>
      <c r="B75" s="299">
        <f>ВС!B74+ЛП!B74</f>
        <v>956894324.71000004</v>
      </c>
      <c r="C75" s="299">
        <f>ВС!C74+ЛП!C74</f>
        <v>34252632.659999996</v>
      </c>
      <c r="D75" s="299">
        <f>ВС!D74+ЛП!D74</f>
        <v>922641692.04999995</v>
      </c>
      <c r="E75" s="299">
        <f>ВС!E74+ЛП!E74</f>
        <v>4797316.38</v>
      </c>
      <c r="F75" s="300">
        <f t="shared" si="25"/>
        <v>20</v>
      </c>
      <c r="G75" s="301">
        <f>ВС!G74+ЛП!G74</f>
        <v>959463.28</v>
      </c>
      <c r="H75" s="302">
        <f>ВС!H74+ЛП!H74</f>
        <v>5756779.6600000001</v>
      </c>
      <c r="I75" s="302">
        <f>ВС!I74+ЛП!I74</f>
        <v>0</v>
      </c>
      <c r="J75" s="303" t="str">
        <f t="shared" si="30"/>
        <v>-</v>
      </c>
      <c r="K75" s="302">
        <f>ВС!K74+ЛП!K74</f>
        <v>956894324.71000004</v>
      </c>
      <c r="L75" s="302">
        <f>ВС!L74+ЛП!L74</f>
        <v>34252632.659999996</v>
      </c>
      <c r="M75" s="302">
        <f>ВС!M74+ЛП!M74</f>
        <v>922641692.04999995</v>
      </c>
      <c r="N75" s="302">
        <f>ВС!N74+ЛП!N74</f>
        <v>179948403.81999999</v>
      </c>
    </row>
    <row r="76" spans="1:14" x14ac:dyDescent="0.3">
      <c r="A76" s="298">
        <v>45352</v>
      </c>
      <c r="B76" s="299">
        <f>ВС!B75+ЛП!B75</f>
        <v>956894324.71000004</v>
      </c>
      <c r="C76" s="299">
        <f>ВС!C75+ЛП!C75</f>
        <v>34252632.659999996</v>
      </c>
      <c r="D76" s="299">
        <f>ВС!D75+ЛП!D75</f>
        <v>922641692.04999995</v>
      </c>
      <c r="E76" s="299">
        <f>ВС!E75+ЛП!E75</f>
        <v>4797316.38</v>
      </c>
      <c r="F76" s="300">
        <f t="shared" si="25"/>
        <v>20</v>
      </c>
      <c r="G76" s="301">
        <f>ВС!G75+ЛП!G75</f>
        <v>959463.28</v>
      </c>
      <c r="H76" s="302">
        <f>ВС!H75+ЛП!H75</f>
        <v>5756779.6600000001</v>
      </c>
      <c r="I76" s="302">
        <f>ВС!I75+ЛП!I75</f>
        <v>0</v>
      </c>
      <c r="J76" s="303" t="str">
        <f t="shared" si="30"/>
        <v>-</v>
      </c>
      <c r="K76" s="302">
        <f>ВС!K75+ЛП!K75</f>
        <v>956894324.71000004</v>
      </c>
      <c r="L76" s="302">
        <f>ВС!L75+ЛП!L75</f>
        <v>34252632.659999996</v>
      </c>
      <c r="M76" s="302">
        <f>ВС!M75+ЛП!M75</f>
        <v>922641692.04999995</v>
      </c>
      <c r="N76" s="302">
        <f>ВС!N75+ЛП!N75</f>
        <v>179948403.81999999</v>
      </c>
    </row>
    <row r="77" spans="1:14" x14ac:dyDescent="0.3">
      <c r="A77" s="298">
        <v>45383</v>
      </c>
      <c r="B77" s="299">
        <f>ВС!B76+ЛП!B76</f>
        <v>956894324.71000004</v>
      </c>
      <c r="C77" s="299">
        <f>ВС!C76+ЛП!C76</f>
        <v>34252632.659999996</v>
      </c>
      <c r="D77" s="299">
        <f>ВС!D76+ЛП!D76</f>
        <v>922641692.04999995</v>
      </c>
      <c r="E77" s="299">
        <f>ВС!E76+ЛП!E76</f>
        <v>4797316.38</v>
      </c>
      <c r="F77" s="300">
        <f t="shared" si="25"/>
        <v>20</v>
      </c>
      <c r="G77" s="301">
        <f>ВС!G76+ЛП!G76</f>
        <v>959463.28</v>
      </c>
      <c r="H77" s="302">
        <f>ВС!H76+ЛП!H76</f>
        <v>5756779.6600000001</v>
      </c>
      <c r="I77" s="302">
        <f>ВС!I76+ЛП!I76</f>
        <v>17270338.98</v>
      </c>
      <c r="J77" s="303">
        <f t="shared" si="30"/>
        <v>45402</v>
      </c>
      <c r="K77" s="302">
        <f>ВС!K76+ЛП!K76</f>
        <v>948331166.55999994</v>
      </c>
      <c r="L77" s="302">
        <f>ВС!L76+ЛП!L76</f>
        <v>34977208.950000003</v>
      </c>
      <c r="M77" s="302">
        <f>ВС!M76+ЛП!M76</f>
        <v>913353957.61000001</v>
      </c>
      <c r="N77" s="302">
        <f>ВС!N76+ЛП!N76</f>
        <v>188655584.65000001</v>
      </c>
    </row>
    <row r="78" spans="1:14" x14ac:dyDescent="0.3">
      <c r="A78" s="298">
        <v>45413</v>
      </c>
      <c r="B78" s="299">
        <f>ВС!B77+ЛП!B77</f>
        <v>948331166.55999994</v>
      </c>
      <c r="C78" s="299">
        <f>ВС!C77+ЛП!C77</f>
        <v>34977208.950000003</v>
      </c>
      <c r="D78" s="299">
        <f>ВС!D77+ЛП!D77</f>
        <v>913353957.61000001</v>
      </c>
      <c r="E78" s="299">
        <f>ВС!E77+ЛП!E77</f>
        <v>4797316.38</v>
      </c>
      <c r="F78" s="300">
        <f t="shared" si="25"/>
        <v>20</v>
      </c>
      <c r="G78" s="301">
        <f>ВС!G77+ЛП!G77</f>
        <v>959463.28</v>
      </c>
      <c r="H78" s="302">
        <f>ВС!H77+ЛП!H77</f>
        <v>5756779.6600000001</v>
      </c>
      <c r="I78" s="302">
        <f>ВС!I77+ЛП!I77</f>
        <v>0</v>
      </c>
      <c r="J78" s="303" t="str">
        <f t="shared" si="30"/>
        <v>-</v>
      </c>
      <c r="K78" s="302">
        <f>ВС!K77+ЛП!K77</f>
        <v>948331166.55999994</v>
      </c>
      <c r="L78" s="302">
        <f>ВС!L77+ЛП!L77</f>
        <v>34977208.950000003</v>
      </c>
      <c r="M78" s="302">
        <f>ВС!M77+ЛП!M77</f>
        <v>913353957.61000001</v>
      </c>
      <c r="N78" s="302">
        <f>ВС!N77+ЛП!N77</f>
        <v>188655584.65000001</v>
      </c>
    </row>
    <row r="79" spans="1:14" x14ac:dyDescent="0.3">
      <c r="A79" s="298">
        <v>45444</v>
      </c>
      <c r="B79" s="299">
        <f>ВС!B78+ЛП!B78</f>
        <v>948331166.55999994</v>
      </c>
      <c r="C79" s="299">
        <f>ВС!C78+ЛП!C78</f>
        <v>34977208.950000003</v>
      </c>
      <c r="D79" s="299">
        <f>ВС!D78+ЛП!D78</f>
        <v>913353957.61000001</v>
      </c>
      <c r="E79" s="299">
        <f>ВС!E78+ЛП!E78</f>
        <v>4797316.38</v>
      </c>
      <c r="F79" s="300">
        <f t="shared" si="25"/>
        <v>20</v>
      </c>
      <c r="G79" s="301">
        <f>ВС!G78+ЛП!G78</f>
        <v>959463.28</v>
      </c>
      <c r="H79" s="302">
        <f>ВС!H78+ЛП!H78</f>
        <v>5756779.6600000001</v>
      </c>
      <c r="I79" s="302">
        <f>ВС!I78+ЛП!I78</f>
        <v>0</v>
      </c>
      <c r="J79" s="303" t="str">
        <f t="shared" si="30"/>
        <v>-</v>
      </c>
      <c r="K79" s="302">
        <f>ВС!K78+ЛП!K78</f>
        <v>948331166.55999994</v>
      </c>
      <c r="L79" s="302">
        <f>ВС!L78+ЛП!L78</f>
        <v>34977208.950000003</v>
      </c>
      <c r="M79" s="302">
        <f>ВС!M78+ЛП!M78</f>
        <v>913353957.61000001</v>
      </c>
      <c r="N79" s="302">
        <f>ВС!N78+ЛП!N78</f>
        <v>188655584.65000001</v>
      </c>
    </row>
    <row r="80" spans="1:14" x14ac:dyDescent="0.3">
      <c r="A80" s="298">
        <v>45474</v>
      </c>
      <c r="B80" s="299">
        <f>ВС!B79+ЛП!B79</f>
        <v>948331166.55999994</v>
      </c>
      <c r="C80" s="299">
        <f>ВС!C79+ЛП!C79</f>
        <v>34977208.950000003</v>
      </c>
      <c r="D80" s="299">
        <f>ВС!D79+ЛП!D79</f>
        <v>913353957.61000001</v>
      </c>
      <c r="E80" s="299">
        <f>ВС!E79+ЛП!E79</f>
        <v>4797316.38</v>
      </c>
      <c r="F80" s="300">
        <f t="shared" si="25"/>
        <v>20</v>
      </c>
      <c r="G80" s="301">
        <f>ВС!G79+ЛП!G79</f>
        <v>959463.28</v>
      </c>
      <c r="H80" s="302">
        <f>ВС!H79+ЛП!H79</f>
        <v>5756779.6600000001</v>
      </c>
      <c r="I80" s="302">
        <f>ВС!I79+ЛП!I79</f>
        <v>17270338.98</v>
      </c>
      <c r="J80" s="303">
        <f t="shared" si="30"/>
        <v>45493</v>
      </c>
      <c r="K80" s="302">
        <f>ВС!K79+ЛП!K79</f>
        <v>939768008.40999997</v>
      </c>
      <c r="L80" s="302">
        <f>ВС!L79+ЛП!L79</f>
        <v>35701785.240000002</v>
      </c>
      <c r="M80" s="302">
        <f>ВС!M79+ЛП!M79</f>
        <v>904066223.16999996</v>
      </c>
      <c r="N80" s="302">
        <f>ВС!N79+ЛП!N79</f>
        <v>197362765.47999999</v>
      </c>
    </row>
    <row r="81" spans="1:14" x14ac:dyDescent="0.3">
      <c r="A81" s="298">
        <v>45505</v>
      </c>
      <c r="B81" s="299">
        <f>ВС!B80+ЛП!B80</f>
        <v>939768008.40999997</v>
      </c>
      <c r="C81" s="299">
        <f>ВС!C80+ЛП!C80</f>
        <v>35701785.240000002</v>
      </c>
      <c r="D81" s="299">
        <f>ВС!D80+ЛП!D80</f>
        <v>904066223.16999996</v>
      </c>
      <c r="E81" s="299">
        <f>ВС!E80+ЛП!E80</f>
        <v>4797316.38</v>
      </c>
      <c r="F81" s="300">
        <f t="shared" si="25"/>
        <v>20</v>
      </c>
      <c r="G81" s="301">
        <f>ВС!G80+ЛП!G80</f>
        <v>959463.28</v>
      </c>
      <c r="H81" s="302">
        <f>ВС!H80+ЛП!H80</f>
        <v>5756779.6600000001</v>
      </c>
      <c r="I81" s="302">
        <f>ВС!I80+ЛП!I80</f>
        <v>0</v>
      </c>
      <c r="J81" s="303" t="str">
        <f t="shared" si="30"/>
        <v>-</v>
      </c>
      <c r="K81" s="302">
        <f>ВС!K80+ЛП!K80</f>
        <v>939768008.40999997</v>
      </c>
      <c r="L81" s="302">
        <f>ВС!L80+ЛП!L80</f>
        <v>35701785.240000002</v>
      </c>
      <c r="M81" s="302">
        <f>ВС!M80+ЛП!M80</f>
        <v>904066223.16999996</v>
      </c>
      <c r="N81" s="302">
        <f>ВС!N80+ЛП!N80</f>
        <v>197362765.47999999</v>
      </c>
    </row>
    <row r="82" spans="1:14" x14ac:dyDescent="0.3">
      <c r="A82" s="298">
        <v>45536</v>
      </c>
      <c r="B82" s="299">
        <f>ВС!B81+ЛП!B81</f>
        <v>939768008.40999997</v>
      </c>
      <c r="C82" s="299">
        <f>ВС!C81+ЛП!C81</f>
        <v>35701785.240000002</v>
      </c>
      <c r="D82" s="299">
        <f>ВС!D81+ЛП!D81</f>
        <v>904066223.16999996</v>
      </c>
      <c r="E82" s="299">
        <f>ВС!E81+ЛП!E81</f>
        <v>4797316.38</v>
      </c>
      <c r="F82" s="300">
        <f t="shared" si="25"/>
        <v>20</v>
      </c>
      <c r="G82" s="301">
        <f>ВС!G81+ЛП!G81</f>
        <v>959463.28</v>
      </c>
      <c r="H82" s="302">
        <f>ВС!H81+ЛП!H81</f>
        <v>5756779.6600000001</v>
      </c>
      <c r="I82" s="302">
        <f>ВС!I81+ЛП!I81</f>
        <v>0</v>
      </c>
      <c r="J82" s="303" t="str">
        <f t="shared" si="30"/>
        <v>-</v>
      </c>
      <c r="K82" s="302">
        <f>ВС!K81+ЛП!K81</f>
        <v>939768008.40999997</v>
      </c>
      <c r="L82" s="302">
        <f>ВС!L81+ЛП!L81</f>
        <v>35701785.240000002</v>
      </c>
      <c r="M82" s="302">
        <f>ВС!M81+ЛП!M81</f>
        <v>904066223.16999996</v>
      </c>
      <c r="N82" s="302">
        <f>ВС!N81+ЛП!N81</f>
        <v>197362765.47999999</v>
      </c>
    </row>
    <row r="83" spans="1:14" x14ac:dyDescent="0.3">
      <c r="A83" s="298">
        <v>45566</v>
      </c>
      <c r="B83" s="299">
        <f>ВС!B82+ЛП!B82</f>
        <v>939768008.40999997</v>
      </c>
      <c r="C83" s="299">
        <f>ВС!C82+ЛП!C82</f>
        <v>35701785.240000002</v>
      </c>
      <c r="D83" s="299">
        <f>ВС!D82+ЛП!D82</f>
        <v>904066223.16999996</v>
      </c>
      <c r="E83" s="299">
        <f>ВС!E82+ЛП!E82</f>
        <v>4797316.38</v>
      </c>
      <c r="F83" s="300">
        <f t="shared" si="25"/>
        <v>20</v>
      </c>
      <c r="G83" s="301">
        <f>ВС!G82+ЛП!G82</f>
        <v>959463.28</v>
      </c>
      <c r="H83" s="302">
        <f>ВС!H82+ЛП!H82</f>
        <v>5756779.6600000001</v>
      </c>
      <c r="I83" s="302">
        <f>ВС!I82+ЛП!I82</f>
        <v>17270338.98</v>
      </c>
      <c r="J83" s="303">
        <f t="shared" si="30"/>
        <v>45585</v>
      </c>
      <c r="K83" s="302">
        <f>ВС!K82+ЛП!K82</f>
        <v>931204850.25999999</v>
      </c>
      <c r="L83" s="302">
        <f>ВС!L82+ЛП!L82</f>
        <v>36426361.530000001</v>
      </c>
      <c r="M83" s="302">
        <f>ВС!M82+ЛП!M82</f>
        <v>894778488.73000002</v>
      </c>
      <c r="N83" s="302">
        <f>ВС!N82+ЛП!N82</f>
        <v>206069946.31</v>
      </c>
    </row>
    <row r="84" spans="1:14" x14ac:dyDescent="0.3">
      <c r="A84" s="298">
        <v>45597</v>
      </c>
      <c r="B84" s="299">
        <f>ВС!B83+ЛП!B83</f>
        <v>931204850.25999999</v>
      </c>
      <c r="C84" s="299">
        <f>ВС!C83+ЛП!C83</f>
        <v>36426361.530000001</v>
      </c>
      <c r="D84" s="299">
        <f>ВС!D83+ЛП!D83</f>
        <v>894778488.73000002</v>
      </c>
      <c r="E84" s="299">
        <f>ВС!E83+ЛП!E83</f>
        <v>4797316.38</v>
      </c>
      <c r="F84" s="300">
        <f t="shared" si="25"/>
        <v>20</v>
      </c>
      <c r="G84" s="301">
        <f>ВС!G83+ЛП!G83</f>
        <v>959463.28</v>
      </c>
      <c r="H84" s="302">
        <f>ВС!H83+ЛП!H83</f>
        <v>5756779.6600000001</v>
      </c>
      <c r="I84" s="302">
        <f>ВС!I83+ЛП!I83</f>
        <v>0</v>
      </c>
      <c r="J84" s="303" t="str">
        <f t="shared" si="30"/>
        <v>-</v>
      </c>
      <c r="K84" s="302">
        <f>ВС!K83+ЛП!K83</f>
        <v>931204850.25999999</v>
      </c>
      <c r="L84" s="302">
        <f>ВС!L83+ЛП!L83</f>
        <v>36426361.530000001</v>
      </c>
      <c r="M84" s="302">
        <f>ВС!M83+ЛП!M83</f>
        <v>894778488.73000002</v>
      </c>
      <c r="N84" s="302">
        <f>ВС!N83+ЛП!N83</f>
        <v>206069946.31</v>
      </c>
    </row>
    <row r="85" spans="1:14" ht="19.5" thickBot="1" x14ac:dyDescent="0.35">
      <c r="A85" s="285">
        <v>45627</v>
      </c>
      <c r="B85" s="286">
        <f>ВС!B84+ЛП!B84</f>
        <v>931204850.25999999</v>
      </c>
      <c r="C85" s="286">
        <f>ВС!C84+ЛП!C84</f>
        <v>36426361.530000001</v>
      </c>
      <c r="D85" s="286">
        <f>ВС!D84+ЛП!D84</f>
        <v>894778488.73000002</v>
      </c>
      <c r="E85" s="286">
        <f>ВС!E84+ЛП!E84</f>
        <v>4797316.43</v>
      </c>
      <c r="F85" s="304">
        <f t="shared" si="25"/>
        <v>20</v>
      </c>
      <c r="G85" s="288">
        <f>ВС!G84+ЛП!G84</f>
        <v>959463.29</v>
      </c>
      <c r="H85" s="289">
        <f>ВС!H84+ЛП!H84</f>
        <v>5756779.7199999997</v>
      </c>
      <c r="I85" s="289">
        <f>ВС!I84+ЛП!I84</f>
        <v>0</v>
      </c>
      <c r="J85" s="290" t="str">
        <f t="shared" si="30"/>
        <v>-</v>
      </c>
      <c r="K85" s="289">
        <f>ВС!K84+ЛП!K84</f>
        <v>931204850.25999999</v>
      </c>
      <c r="L85" s="289">
        <f>ВС!L84+ЛП!L84</f>
        <v>36426361.530000001</v>
      </c>
      <c r="M85" s="289">
        <f>ВС!M84+ЛП!M84</f>
        <v>894778488.73000002</v>
      </c>
      <c r="N85" s="289">
        <f>ВС!N84+ЛП!N84</f>
        <v>206069946.31</v>
      </c>
    </row>
    <row r="86" spans="1:14" s="306" customFormat="1" ht="19.5" thickBot="1" x14ac:dyDescent="0.35">
      <c r="A86" s="291">
        <v>2024</v>
      </c>
      <c r="B86" s="292">
        <f t="shared" ref="B86:D86" si="31">B74</f>
        <v>964755787.96000004</v>
      </c>
      <c r="C86" s="292">
        <f t="shared" si="31"/>
        <v>33550937.699999999</v>
      </c>
      <c r="D86" s="292">
        <f t="shared" si="31"/>
        <v>931204850.25999999</v>
      </c>
      <c r="E86" s="292">
        <f t="shared" ref="E86" si="32">SUM(E74:E85)</f>
        <v>57567796.609999999</v>
      </c>
      <c r="F86" s="305">
        <f t="shared" si="25"/>
        <v>20</v>
      </c>
      <c r="G86" s="294">
        <f t="shared" ref="G86:I86" si="33">SUM(G74:G85)</f>
        <v>11513559.369999999</v>
      </c>
      <c r="H86" s="295">
        <f t="shared" si="33"/>
        <v>69081355.980000004</v>
      </c>
      <c r="I86" s="295">
        <f t="shared" si="33"/>
        <v>68379661.019999996</v>
      </c>
      <c r="J86" s="296"/>
      <c r="K86" s="295">
        <f t="shared" ref="K86:N86" si="34">K85</f>
        <v>931204850.25999999</v>
      </c>
      <c r="L86" s="295">
        <f t="shared" si="34"/>
        <v>36426361.530000001</v>
      </c>
      <c r="M86" s="295">
        <f t="shared" si="34"/>
        <v>894778488.73000002</v>
      </c>
      <c r="N86" s="295">
        <f t="shared" si="34"/>
        <v>206069946.31</v>
      </c>
    </row>
    <row r="87" spans="1:14" x14ac:dyDescent="0.3">
      <c r="A87" s="279">
        <v>45658</v>
      </c>
      <c r="B87" s="280">
        <f>ВС!B86+ЛП!B86</f>
        <v>931204850.25999999</v>
      </c>
      <c r="C87" s="280">
        <f>ВС!C86+ЛП!C86</f>
        <v>36426361.530000001</v>
      </c>
      <c r="D87" s="280">
        <f>ВС!D86+ЛП!D86</f>
        <v>894778488.73000002</v>
      </c>
      <c r="E87" s="280">
        <f>ВС!E86+ЛП!E86</f>
        <v>4998587.57</v>
      </c>
      <c r="F87" s="297">
        <f t="shared" si="25"/>
        <v>20</v>
      </c>
      <c r="G87" s="282">
        <f>ВС!G86+ЛП!G86</f>
        <v>999717.52</v>
      </c>
      <c r="H87" s="283">
        <f>ВС!H86+ЛП!H86</f>
        <v>5998305.0899999999</v>
      </c>
      <c r="I87" s="283">
        <f>ВС!I86+ЛП!I86</f>
        <v>17270339.039999999</v>
      </c>
      <c r="J87" s="284">
        <f t="shared" ref="J87:J98" si="35">IF(I87=0,"-",A87+19)</f>
        <v>45677</v>
      </c>
      <c r="K87" s="283">
        <f>ВС!K86+ЛП!K86</f>
        <v>922641692.04999995</v>
      </c>
      <c r="L87" s="283">
        <f>ВС!L86+ЛП!L86</f>
        <v>37150937.770000003</v>
      </c>
      <c r="M87" s="283">
        <f>ВС!M86+ЛП!M86</f>
        <v>885490754.27999997</v>
      </c>
      <c r="N87" s="283">
        <f>ВС!N86+ЛП!N86</f>
        <v>214777127.13999999</v>
      </c>
    </row>
    <row r="88" spans="1:14" x14ac:dyDescent="0.3">
      <c r="A88" s="298">
        <v>45689</v>
      </c>
      <c r="B88" s="299">
        <f>ВС!B87+ЛП!B87</f>
        <v>922641692.04999995</v>
      </c>
      <c r="C88" s="299">
        <f>ВС!C87+ЛП!C87</f>
        <v>37150937.770000003</v>
      </c>
      <c r="D88" s="299">
        <f>ВС!D87+ЛП!D87</f>
        <v>885490754.27999997</v>
      </c>
      <c r="E88" s="299">
        <f>ВС!E87+ЛП!E87</f>
        <v>4998587.57</v>
      </c>
      <c r="F88" s="300">
        <f t="shared" si="25"/>
        <v>20</v>
      </c>
      <c r="G88" s="301">
        <f>ВС!G87+ЛП!G87</f>
        <v>999717.52</v>
      </c>
      <c r="H88" s="302">
        <f>ВС!H87+ЛП!H87</f>
        <v>5998305.0899999999</v>
      </c>
      <c r="I88" s="302">
        <f>ВС!I87+ЛП!I87</f>
        <v>0</v>
      </c>
      <c r="J88" s="303" t="str">
        <f t="shared" si="35"/>
        <v>-</v>
      </c>
      <c r="K88" s="302">
        <f>ВС!K87+ЛП!K87</f>
        <v>922641692.04999995</v>
      </c>
      <c r="L88" s="302">
        <f>ВС!L87+ЛП!L87</f>
        <v>37150937.770000003</v>
      </c>
      <c r="M88" s="302">
        <f>ВС!M87+ЛП!M87</f>
        <v>885490754.27999997</v>
      </c>
      <c r="N88" s="302">
        <f>ВС!N87+ЛП!N87</f>
        <v>214777127.13999999</v>
      </c>
    </row>
    <row r="89" spans="1:14" x14ac:dyDescent="0.3">
      <c r="A89" s="298">
        <v>45717</v>
      </c>
      <c r="B89" s="299">
        <f>ВС!B88+ЛП!B88</f>
        <v>922641692.04999995</v>
      </c>
      <c r="C89" s="299">
        <f>ВС!C88+ЛП!C88</f>
        <v>37150937.770000003</v>
      </c>
      <c r="D89" s="299">
        <f>ВС!D88+ЛП!D88</f>
        <v>885490754.27999997</v>
      </c>
      <c r="E89" s="299">
        <f>ВС!E88+ЛП!E88</f>
        <v>4998587.57</v>
      </c>
      <c r="F89" s="300">
        <f t="shared" si="25"/>
        <v>20</v>
      </c>
      <c r="G89" s="301">
        <f>ВС!G88+ЛП!G88</f>
        <v>999717.52</v>
      </c>
      <c r="H89" s="302">
        <f>ВС!H88+ЛП!H88</f>
        <v>5998305.0899999999</v>
      </c>
      <c r="I89" s="302">
        <f>ВС!I88+ЛП!I88</f>
        <v>0</v>
      </c>
      <c r="J89" s="303" t="str">
        <f t="shared" si="35"/>
        <v>-</v>
      </c>
      <c r="K89" s="302">
        <f>ВС!K88+ЛП!K88</f>
        <v>922641692.04999995</v>
      </c>
      <c r="L89" s="302">
        <f>ВС!L88+ЛП!L88</f>
        <v>37150937.770000003</v>
      </c>
      <c r="M89" s="302">
        <f>ВС!M88+ЛП!M88</f>
        <v>885490754.27999997</v>
      </c>
      <c r="N89" s="302">
        <f>ВС!N88+ЛП!N88</f>
        <v>214777127.13999999</v>
      </c>
    </row>
    <row r="90" spans="1:14" x14ac:dyDescent="0.3">
      <c r="A90" s="298">
        <v>45748</v>
      </c>
      <c r="B90" s="299">
        <f>ВС!B89+ЛП!B89</f>
        <v>922641692.04999995</v>
      </c>
      <c r="C90" s="299">
        <f>ВС!C89+ЛП!C89</f>
        <v>37150937.770000003</v>
      </c>
      <c r="D90" s="299">
        <f>ВС!D89+ЛП!D89</f>
        <v>885490754.27999997</v>
      </c>
      <c r="E90" s="299">
        <f>ВС!E89+ЛП!E89</f>
        <v>4998587.57</v>
      </c>
      <c r="F90" s="300">
        <f t="shared" si="25"/>
        <v>20</v>
      </c>
      <c r="G90" s="301">
        <f>ВС!G89+ЛП!G89</f>
        <v>999717.52</v>
      </c>
      <c r="H90" s="302">
        <f>ВС!H89+ЛП!H89</f>
        <v>5998305.0899999999</v>
      </c>
      <c r="I90" s="302">
        <f>ВС!I89+ЛП!I89</f>
        <v>17994915.27</v>
      </c>
      <c r="J90" s="303">
        <f t="shared" si="35"/>
        <v>45767</v>
      </c>
      <c r="K90" s="302">
        <f>ВС!K89+ЛП!K89</f>
        <v>913353957.61000001</v>
      </c>
      <c r="L90" s="302">
        <f>ВС!L89+ЛП!L89</f>
        <v>37893310.630000003</v>
      </c>
      <c r="M90" s="302">
        <f>ВС!M89+ЛП!M89</f>
        <v>875460646.98000002</v>
      </c>
      <c r="N90" s="302">
        <f>ВС!N89+ЛП!N89</f>
        <v>223484307.97</v>
      </c>
    </row>
    <row r="91" spans="1:14" x14ac:dyDescent="0.3">
      <c r="A91" s="298">
        <v>45778</v>
      </c>
      <c r="B91" s="299">
        <f>ВС!B90+ЛП!B90</f>
        <v>913353957.61000001</v>
      </c>
      <c r="C91" s="299">
        <f>ВС!C90+ЛП!C90</f>
        <v>37893310.630000003</v>
      </c>
      <c r="D91" s="299">
        <f>ВС!D90+ЛП!D90</f>
        <v>875460646.98000002</v>
      </c>
      <c r="E91" s="299">
        <f>ВС!E90+ЛП!E90</f>
        <v>4998587.57</v>
      </c>
      <c r="F91" s="300">
        <f t="shared" si="25"/>
        <v>20</v>
      </c>
      <c r="G91" s="301">
        <f>ВС!G90+ЛП!G90</f>
        <v>999717.52</v>
      </c>
      <c r="H91" s="302">
        <f>ВС!H90+ЛП!H90</f>
        <v>5998305.0899999999</v>
      </c>
      <c r="I91" s="302">
        <f>ВС!I90+ЛП!I90</f>
        <v>0</v>
      </c>
      <c r="J91" s="303" t="str">
        <f t="shared" si="35"/>
        <v>-</v>
      </c>
      <c r="K91" s="302">
        <f>ВС!K90+ЛП!K90</f>
        <v>913353957.61000001</v>
      </c>
      <c r="L91" s="302">
        <f>ВС!L90+ЛП!L90</f>
        <v>37893310.630000003</v>
      </c>
      <c r="M91" s="302">
        <f>ВС!M90+ЛП!M90</f>
        <v>875460646.98000002</v>
      </c>
      <c r="N91" s="302">
        <f>ВС!N90+ЛП!N90</f>
        <v>223484307.97</v>
      </c>
    </row>
    <row r="92" spans="1:14" x14ac:dyDescent="0.3">
      <c r="A92" s="298">
        <v>45809</v>
      </c>
      <c r="B92" s="299">
        <f>ВС!B91+ЛП!B91</f>
        <v>913353957.61000001</v>
      </c>
      <c r="C92" s="299">
        <f>ВС!C91+ЛП!C91</f>
        <v>37893310.630000003</v>
      </c>
      <c r="D92" s="299">
        <f>ВС!D91+ЛП!D91</f>
        <v>875460646.98000002</v>
      </c>
      <c r="E92" s="299">
        <f>ВС!E91+ЛП!E91</f>
        <v>4998587.57</v>
      </c>
      <c r="F92" s="300">
        <f t="shared" si="25"/>
        <v>20</v>
      </c>
      <c r="G92" s="301">
        <f>ВС!G91+ЛП!G91</f>
        <v>999717.52</v>
      </c>
      <c r="H92" s="302">
        <f>ВС!H91+ЛП!H91</f>
        <v>5998305.0899999999</v>
      </c>
      <c r="I92" s="302">
        <f>ВС!I91+ЛП!I91</f>
        <v>0</v>
      </c>
      <c r="J92" s="303" t="str">
        <f t="shared" si="35"/>
        <v>-</v>
      </c>
      <c r="K92" s="302">
        <f>ВС!K91+ЛП!K91</f>
        <v>913353957.61000001</v>
      </c>
      <c r="L92" s="302">
        <f>ВС!L91+ЛП!L91</f>
        <v>37893310.630000003</v>
      </c>
      <c r="M92" s="302">
        <f>ВС!M91+ЛП!M91</f>
        <v>875460646.98000002</v>
      </c>
      <c r="N92" s="302">
        <f>ВС!N91+ЛП!N91</f>
        <v>223484307.97</v>
      </c>
    </row>
    <row r="93" spans="1:14" x14ac:dyDescent="0.3">
      <c r="A93" s="298">
        <v>45839</v>
      </c>
      <c r="B93" s="299">
        <f>ВС!B92+ЛП!B92</f>
        <v>913353957.61000001</v>
      </c>
      <c r="C93" s="299">
        <f>ВС!C92+ЛП!C92</f>
        <v>37893310.630000003</v>
      </c>
      <c r="D93" s="299">
        <f>ВС!D92+ЛП!D92</f>
        <v>875460646.98000002</v>
      </c>
      <c r="E93" s="299">
        <f>ВС!E92+ЛП!E92</f>
        <v>4998587.57</v>
      </c>
      <c r="F93" s="300">
        <f t="shared" si="25"/>
        <v>20</v>
      </c>
      <c r="G93" s="301">
        <f>ВС!G92+ЛП!G92</f>
        <v>999717.52</v>
      </c>
      <c r="H93" s="302">
        <f>ВС!H92+ЛП!H92</f>
        <v>5998305.0899999999</v>
      </c>
      <c r="I93" s="302">
        <f>ВС!I92+ЛП!I92</f>
        <v>17994915.27</v>
      </c>
      <c r="J93" s="303">
        <f t="shared" si="35"/>
        <v>45858</v>
      </c>
      <c r="K93" s="302">
        <f>ВС!K92+ЛП!K92</f>
        <v>904066223.16999996</v>
      </c>
      <c r="L93" s="302">
        <f>ВС!L92+ЛП!L92</f>
        <v>38635683.490000002</v>
      </c>
      <c r="M93" s="302">
        <f>ВС!M92+ЛП!M92</f>
        <v>865430539.67999995</v>
      </c>
      <c r="N93" s="302">
        <f>ВС!N92+ЛП!N92</f>
        <v>232191488.80000001</v>
      </c>
    </row>
    <row r="94" spans="1:14" x14ac:dyDescent="0.3">
      <c r="A94" s="298">
        <v>45870</v>
      </c>
      <c r="B94" s="299">
        <f>ВС!B93+ЛП!B93</f>
        <v>904066223.16999996</v>
      </c>
      <c r="C94" s="299">
        <f>ВС!C93+ЛП!C93</f>
        <v>38635683.490000002</v>
      </c>
      <c r="D94" s="299">
        <f>ВС!D93+ЛП!D93</f>
        <v>865430539.67999995</v>
      </c>
      <c r="E94" s="299">
        <f>ВС!E93+ЛП!E93</f>
        <v>4998587.57</v>
      </c>
      <c r="F94" s="300">
        <f t="shared" si="25"/>
        <v>20</v>
      </c>
      <c r="G94" s="301">
        <f>ВС!G93+ЛП!G93</f>
        <v>999717.52</v>
      </c>
      <c r="H94" s="302">
        <f>ВС!H93+ЛП!H93</f>
        <v>5998305.0899999999</v>
      </c>
      <c r="I94" s="302">
        <f>ВС!I93+ЛП!I93</f>
        <v>0</v>
      </c>
      <c r="J94" s="303" t="str">
        <f t="shared" si="35"/>
        <v>-</v>
      </c>
      <c r="K94" s="302">
        <f>ВС!K93+ЛП!K93</f>
        <v>904066223.16999996</v>
      </c>
      <c r="L94" s="302">
        <f>ВС!L93+ЛП!L93</f>
        <v>38635683.490000002</v>
      </c>
      <c r="M94" s="302">
        <f>ВС!M93+ЛП!M93</f>
        <v>865430539.67999995</v>
      </c>
      <c r="N94" s="302">
        <f>ВС!N93+ЛП!N93</f>
        <v>232191488.80000001</v>
      </c>
    </row>
    <row r="95" spans="1:14" x14ac:dyDescent="0.3">
      <c r="A95" s="298">
        <v>45901</v>
      </c>
      <c r="B95" s="299">
        <f>ВС!B94+ЛП!B94</f>
        <v>904066223.16999996</v>
      </c>
      <c r="C95" s="299">
        <f>ВС!C94+ЛП!C94</f>
        <v>38635683.490000002</v>
      </c>
      <c r="D95" s="299">
        <f>ВС!D94+ЛП!D94</f>
        <v>865430539.67999995</v>
      </c>
      <c r="E95" s="299">
        <f>ВС!E94+ЛП!E94</f>
        <v>4998587.57</v>
      </c>
      <c r="F95" s="300">
        <f t="shared" si="25"/>
        <v>20</v>
      </c>
      <c r="G95" s="301">
        <f>ВС!G94+ЛП!G94</f>
        <v>999717.52</v>
      </c>
      <c r="H95" s="302">
        <f>ВС!H94+ЛП!H94</f>
        <v>5998305.0899999999</v>
      </c>
      <c r="I95" s="302">
        <f>ВС!I94+ЛП!I94</f>
        <v>0</v>
      </c>
      <c r="J95" s="303" t="str">
        <f t="shared" si="35"/>
        <v>-</v>
      </c>
      <c r="K95" s="302">
        <f>ВС!K94+ЛП!K94</f>
        <v>904066223.16999996</v>
      </c>
      <c r="L95" s="302">
        <f>ВС!L94+ЛП!L94</f>
        <v>38635683.490000002</v>
      </c>
      <c r="M95" s="302">
        <f>ВС!M94+ЛП!M94</f>
        <v>865430539.67999995</v>
      </c>
      <c r="N95" s="302">
        <f>ВС!N94+ЛП!N94</f>
        <v>232191488.80000001</v>
      </c>
    </row>
    <row r="96" spans="1:14" x14ac:dyDescent="0.3">
      <c r="A96" s="298">
        <v>45931</v>
      </c>
      <c r="B96" s="299">
        <f>ВС!B95+ЛП!B95</f>
        <v>904066223.16999996</v>
      </c>
      <c r="C96" s="299">
        <f>ВС!C95+ЛП!C95</f>
        <v>38635683.490000002</v>
      </c>
      <c r="D96" s="299">
        <f>ВС!D95+ЛП!D95</f>
        <v>865430539.67999995</v>
      </c>
      <c r="E96" s="299">
        <f>ВС!E95+ЛП!E95</f>
        <v>4998587.57</v>
      </c>
      <c r="F96" s="300">
        <f t="shared" si="25"/>
        <v>20</v>
      </c>
      <c r="G96" s="301">
        <f>ВС!G95+ЛП!G95</f>
        <v>999717.52</v>
      </c>
      <c r="H96" s="302">
        <f>ВС!H95+ЛП!H95</f>
        <v>5998305.0899999999</v>
      </c>
      <c r="I96" s="302">
        <f>ВС!I95+ЛП!I95</f>
        <v>17994915.27</v>
      </c>
      <c r="J96" s="303">
        <f t="shared" si="35"/>
        <v>45950</v>
      </c>
      <c r="K96" s="302">
        <f>ВС!K95+ЛП!K95</f>
        <v>894778488.73000002</v>
      </c>
      <c r="L96" s="302">
        <f>ВС!L95+ЛП!L95</f>
        <v>39378056.350000001</v>
      </c>
      <c r="M96" s="302">
        <f>ВС!M95+ЛП!M95</f>
        <v>855400432.38</v>
      </c>
      <c r="N96" s="302">
        <f>ВС!N95+ЛП!N95</f>
        <v>240898669.63</v>
      </c>
    </row>
    <row r="97" spans="1:14" x14ac:dyDescent="0.3">
      <c r="A97" s="298">
        <v>45962</v>
      </c>
      <c r="B97" s="299">
        <f>ВС!B96+ЛП!B96</f>
        <v>894778488.73000002</v>
      </c>
      <c r="C97" s="299">
        <f>ВС!C96+ЛП!C96</f>
        <v>39378056.350000001</v>
      </c>
      <c r="D97" s="299">
        <f>ВС!D96+ЛП!D96</f>
        <v>855400432.38</v>
      </c>
      <c r="E97" s="299">
        <f>ВС!E96+ЛП!E96</f>
        <v>4998587.57</v>
      </c>
      <c r="F97" s="300">
        <f t="shared" si="25"/>
        <v>20</v>
      </c>
      <c r="G97" s="301">
        <f>ВС!G96+ЛП!G96</f>
        <v>999717.52</v>
      </c>
      <c r="H97" s="302">
        <f>ВС!H96+ЛП!H96</f>
        <v>5998305.0899999999</v>
      </c>
      <c r="I97" s="302">
        <f>ВС!I96+ЛП!I96</f>
        <v>0</v>
      </c>
      <c r="J97" s="303" t="str">
        <f t="shared" si="35"/>
        <v>-</v>
      </c>
      <c r="K97" s="302">
        <f>ВС!K96+ЛП!K96</f>
        <v>894778488.73000002</v>
      </c>
      <c r="L97" s="302">
        <f>ВС!L96+ЛП!L96</f>
        <v>39378056.350000001</v>
      </c>
      <c r="M97" s="302">
        <f>ВС!M96+ЛП!M96</f>
        <v>855400432.38</v>
      </c>
      <c r="N97" s="302">
        <f>ВС!N96+ЛП!N96</f>
        <v>240898669.63</v>
      </c>
    </row>
    <row r="98" spans="1:14" ht="19.5" thickBot="1" x14ac:dyDescent="0.35">
      <c r="A98" s="285">
        <v>45992</v>
      </c>
      <c r="B98" s="286">
        <f>ВС!B97+ЛП!B97</f>
        <v>894778488.73000002</v>
      </c>
      <c r="C98" s="286">
        <f>ВС!C97+ЛП!C97</f>
        <v>39378056.350000001</v>
      </c>
      <c r="D98" s="286">
        <f>ВС!D97+ЛП!D97</f>
        <v>855400432.38</v>
      </c>
      <c r="E98" s="286">
        <f>ВС!E97+ЛП!E97</f>
        <v>4998587.58</v>
      </c>
      <c r="F98" s="304">
        <f t="shared" si="25"/>
        <v>20</v>
      </c>
      <c r="G98" s="288">
        <f>ВС!G97+ЛП!G97</f>
        <v>999717.52</v>
      </c>
      <c r="H98" s="289">
        <f>ВС!H97+ЛП!H97</f>
        <v>5998305.0999999996</v>
      </c>
      <c r="I98" s="289">
        <f>ВС!I97+ЛП!I97</f>
        <v>0</v>
      </c>
      <c r="J98" s="290" t="str">
        <f t="shared" si="35"/>
        <v>-</v>
      </c>
      <c r="K98" s="289">
        <f>ВС!K97+ЛП!K97</f>
        <v>894778488.73000002</v>
      </c>
      <c r="L98" s="289">
        <f>ВС!L97+ЛП!L97</f>
        <v>39378056.350000001</v>
      </c>
      <c r="M98" s="289">
        <f>ВС!M97+ЛП!M97</f>
        <v>855400432.38</v>
      </c>
      <c r="N98" s="289">
        <f>ВС!N97+ЛП!N97</f>
        <v>240898669.63</v>
      </c>
    </row>
    <row r="99" spans="1:14" s="306" customFormat="1" ht="19.5" thickBot="1" x14ac:dyDescent="0.35">
      <c r="A99" s="291">
        <v>2025</v>
      </c>
      <c r="B99" s="292">
        <f t="shared" ref="B99:D99" si="36">B87</f>
        <v>931204850.25999999</v>
      </c>
      <c r="C99" s="292">
        <f t="shared" si="36"/>
        <v>36426361.530000001</v>
      </c>
      <c r="D99" s="292">
        <f t="shared" si="36"/>
        <v>894778488.73000002</v>
      </c>
      <c r="E99" s="292">
        <f t="shared" ref="E99" si="37">SUM(E87:E98)</f>
        <v>59983050.850000001</v>
      </c>
      <c r="F99" s="305">
        <f t="shared" si="25"/>
        <v>20</v>
      </c>
      <c r="G99" s="294">
        <f t="shared" ref="G99:I99" si="38">SUM(G87:G98)</f>
        <v>11996610.24</v>
      </c>
      <c r="H99" s="295">
        <f t="shared" si="38"/>
        <v>71979661.090000004</v>
      </c>
      <c r="I99" s="295">
        <f t="shared" si="38"/>
        <v>71255084.849999994</v>
      </c>
      <c r="J99" s="296"/>
      <c r="K99" s="295">
        <f t="shared" ref="K99:N99" si="39">K98</f>
        <v>894778488.73000002</v>
      </c>
      <c r="L99" s="295">
        <f t="shared" si="39"/>
        <v>39378056.350000001</v>
      </c>
      <c r="M99" s="295">
        <f t="shared" si="39"/>
        <v>855400432.38</v>
      </c>
      <c r="N99" s="295">
        <f t="shared" si="39"/>
        <v>240898669.63</v>
      </c>
    </row>
    <row r="100" spans="1:14" x14ac:dyDescent="0.3">
      <c r="A100" s="279">
        <v>46023</v>
      </c>
      <c r="B100" s="280">
        <f>ВС!B99+ЛП!B99</f>
        <v>894778488.73000002</v>
      </c>
      <c r="C100" s="280">
        <f>ВС!C99+ЛП!C99</f>
        <v>39378056.350000001</v>
      </c>
      <c r="D100" s="280">
        <f>ВС!D99+ЛП!D99</f>
        <v>855400432.38</v>
      </c>
      <c r="E100" s="280">
        <f>ВС!E99+ЛП!E99</f>
        <v>5204802.26</v>
      </c>
      <c r="F100" s="297">
        <f t="shared" si="25"/>
        <v>20</v>
      </c>
      <c r="G100" s="282">
        <f>ВС!G99+ЛП!G99</f>
        <v>1040960.45</v>
      </c>
      <c r="H100" s="283">
        <f>ВС!H99+ЛП!H99</f>
        <v>6245762.71</v>
      </c>
      <c r="I100" s="283">
        <f>ВС!I99+ЛП!I99</f>
        <v>17994915.280000001</v>
      </c>
      <c r="J100" s="284">
        <f t="shared" ref="J100:J111" si="40">IF(I100=0,"-",A100+19)</f>
        <v>46042</v>
      </c>
      <c r="K100" s="283">
        <f>ВС!K99+ЛП!K99</f>
        <v>885490754.27999997</v>
      </c>
      <c r="L100" s="283">
        <f>ВС!L99+ЛП!L99</f>
        <v>40120429.200000003</v>
      </c>
      <c r="M100" s="283">
        <f>ВС!M99+ЛП!M99</f>
        <v>845370325.08000004</v>
      </c>
      <c r="N100" s="283">
        <f>ВС!N99+ЛП!N99</f>
        <v>249605850.46000001</v>
      </c>
    </row>
    <row r="101" spans="1:14" x14ac:dyDescent="0.3">
      <c r="A101" s="298">
        <v>46054</v>
      </c>
      <c r="B101" s="299">
        <f>ВС!B100+ЛП!B100</f>
        <v>885490754.27999997</v>
      </c>
      <c r="C101" s="299">
        <f>ВС!C100+ЛП!C100</f>
        <v>40120429.200000003</v>
      </c>
      <c r="D101" s="299">
        <f>ВС!D100+ЛП!D100</f>
        <v>845370325.08000004</v>
      </c>
      <c r="E101" s="299">
        <f>ВС!E100+ЛП!E100</f>
        <v>5204802.26</v>
      </c>
      <c r="F101" s="300">
        <f t="shared" si="25"/>
        <v>20</v>
      </c>
      <c r="G101" s="301">
        <f>ВС!G100+ЛП!G100</f>
        <v>1040960.45</v>
      </c>
      <c r="H101" s="302">
        <f>ВС!H100+ЛП!H100</f>
        <v>6245762.71</v>
      </c>
      <c r="I101" s="302">
        <f>ВС!I100+ЛП!I100</f>
        <v>0</v>
      </c>
      <c r="J101" s="303" t="str">
        <f t="shared" si="40"/>
        <v>-</v>
      </c>
      <c r="K101" s="302">
        <f>ВС!K100+ЛП!K100</f>
        <v>885490754.27999997</v>
      </c>
      <c r="L101" s="302">
        <f>ВС!L100+ЛП!L100</f>
        <v>40120429.200000003</v>
      </c>
      <c r="M101" s="302">
        <f>ВС!M100+ЛП!M100</f>
        <v>845370325.08000004</v>
      </c>
      <c r="N101" s="302">
        <f>ВС!N100+ЛП!N100</f>
        <v>249605850.46000001</v>
      </c>
    </row>
    <row r="102" spans="1:14" x14ac:dyDescent="0.3">
      <c r="A102" s="298">
        <v>46082</v>
      </c>
      <c r="B102" s="299">
        <f>ВС!B101+ЛП!B101</f>
        <v>885490754.27999997</v>
      </c>
      <c r="C102" s="299">
        <f>ВС!C101+ЛП!C101</f>
        <v>40120429.200000003</v>
      </c>
      <c r="D102" s="299">
        <f>ВС!D101+ЛП!D101</f>
        <v>845370325.08000004</v>
      </c>
      <c r="E102" s="299">
        <f>ВС!E101+ЛП!E101</f>
        <v>5204802.26</v>
      </c>
      <c r="F102" s="300">
        <f t="shared" si="25"/>
        <v>20</v>
      </c>
      <c r="G102" s="301">
        <f>ВС!G101+ЛП!G101</f>
        <v>1040960.45</v>
      </c>
      <c r="H102" s="302">
        <f>ВС!H101+ЛП!H101</f>
        <v>6245762.71</v>
      </c>
      <c r="I102" s="302">
        <f>ВС!I101+ЛП!I101</f>
        <v>0</v>
      </c>
      <c r="J102" s="303" t="str">
        <f t="shared" si="40"/>
        <v>-</v>
      </c>
      <c r="K102" s="302">
        <f>ВС!K101+ЛП!K101</f>
        <v>885490754.27999997</v>
      </c>
      <c r="L102" s="302">
        <f>ВС!L101+ЛП!L101</f>
        <v>40120429.200000003</v>
      </c>
      <c r="M102" s="302">
        <f>ВС!M101+ЛП!M101</f>
        <v>845370325.08000004</v>
      </c>
      <c r="N102" s="302">
        <f>ВС!N101+ЛП!N101</f>
        <v>249605850.46000001</v>
      </c>
    </row>
    <row r="103" spans="1:14" x14ac:dyDescent="0.3">
      <c r="A103" s="298">
        <v>46113</v>
      </c>
      <c r="B103" s="299">
        <f>ВС!B102+ЛП!B102</f>
        <v>885490754.27999997</v>
      </c>
      <c r="C103" s="299">
        <f>ВС!C102+ЛП!C102</f>
        <v>40120429.200000003</v>
      </c>
      <c r="D103" s="299">
        <f>ВС!D102+ЛП!D102</f>
        <v>845370325.08000004</v>
      </c>
      <c r="E103" s="299">
        <f>ВС!E102+ЛП!E102</f>
        <v>5204802.26</v>
      </c>
      <c r="F103" s="300">
        <f t="shared" si="25"/>
        <v>20</v>
      </c>
      <c r="G103" s="301">
        <f>ВС!G102+ЛП!G102</f>
        <v>1040960.45</v>
      </c>
      <c r="H103" s="302">
        <f>ВС!H102+ЛП!H102</f>
        <v>6245762.71</v>
      </c>
      <c r="I103" s="302">
        <f>ВС!I102+ЛП!I102</f>
        <v>18737288.129999999</v>
      </c>
      <c r="J103" s="303">
        <f t="shared" si="40"/>
        <v>46132</v>
      </c>
      <c r="K103" s="302">
        <f>ВС!K102+ЛП!K102</f>
        <v>875460646.98000002</v>
      </c>
      <c r="L103" s="302">
        <f>ВС!L102+ЛП!L102</f>
        <v>40883141.100000001</v>
      </c>
      <c r="M103" s="302">
        <f>ВС!M102+ЛП!M102</f>
        <v>834577505.88</v>
      </c>
      <c r="N103" s="302">
        <f>ВС!N102+ЛП!N102</f>
        <v>258313031.28999999</v>
      </c>
    </row>
    <row r="104" spans="1:14" x14ac:dyDescent="0.3">
      <c r="A104" s="298">
        <v>46143</v>
      </c>
      <c r="B104" s="299">
        <f>ВС!B103+ЛП!B103</f>
        <v>875460646.98000002</v>
      </c>
      <c r="C104" s="299">
        <f>ВС!C103+ЛП!C103</f>
        <v>40883141.100000001</v>
      </c>
      <c r="D104" s="299">
        <f>ВС!D103+ЛП!D103</f>
        <v>834577505.88</v>
      </c>
      <c r="E104" s="299">
        <f>ВС!E103+ЛП!E103</f>
        <v>5204802.26</v>
      </c>
      <c r="F104" s="300">
        <f t="shared" si="25"/>
        <v>20</v>
      </c>
      <c r="G104" s="301">
        <f>ВС!G103+ЛП!G103</f>
        <v>1040960.45</v>
      </c>
      <c r="H104" s="302">
        <f>ВС!H103+ЛП!H103</f>
        <v>6245762.71</v>
      </c>
      <c r="I104" s="302">
        <f>ВС!I103+ЛП!I103</f>
        <v>0</v>
      </c>
      <c r="J104" s="303" t="str">
        <f t="shared" si="40"/>
        <v>-</v>
      </c>
      <c r="K104" s="302">
        <f>ВС!K103+ЛП!K103</f>
        <v>875460646.98000002</v>
      </c>
      <c r="L104" s="302">
        <f>ВС!L103+ЛП!L103</f>
        <v>40883141.100000001</v>
      </c>
      <c r="M104" s="302">
        <f>ВС!M103+ЛП!M103</f>
        <v>834577505.88</v>
      </c>
      <c r="N104" s="302">
        <f>ВС!N103+ЛП!N103</f>
        <v>258313031.28999999</v>
      </c>
    </row>
    <row r="105" spans="1:14" x14ac:dyDescent="0.3">
      <c r="A105" s="298">
        <v>46174</v>
      </c>
      <c r="B105" s="299">
        <f>ВС!B104+ЛП!B104</f>
        <v>875460646.98000002</v>
      </c>
      <c r="C105" s="299">
        <f>ВС!C104+ЛП!C104</f>
        <v>40883141.100000001</v>
      </c>
      <c r="D105" s="299">
        <f>ВС!D104+ЛП!D104</f>
        <v>834577505.88</v>
      </c>
      <c r="E105" s="299">
        <f>ВС!E104+ЛП!E104</f>
        <v>5204802.26</v>
      </c>
      <c r="F105" s="300">
        <f t="shared" si="25"/>
        <v>20</v>
      </c>
      <c r="G105" s="301">
        <f>ВС!G104+ЛП!G104</f>
        <v>1040960.45</v>
      </c>
      <c r="H105" s="302">
        <f>ВС!H104+ЛП!H104</f>
        <v>6245762.71</v>
      </c>
      <c r="I105" s="302">
        <f>ВС!I104+ЛП!I104</f>
        <v>0</v>
      </c>
      <c r="J105" s="303" t="str">
        <f t="shared" si="40"/>
        <v>-</v>
      </c>
      <c r="K105" s="302">
        <f>ВС!K104+ЛП!K104</f>
        <v>875460646.98000002</v>
      </c>
      <c r="L105" s="302">
        <f>ВС!L104+ЛП!L104</f>
        <v>40883141.100000001</v>
      </c>
      <c r="M105" s="302">
        <f>ВС!M104+ЛП!M104</f>
        <v>834577505.88</v>
      </c>
      <c r="N105" s="302">
        <f>ВС!N104+ЛП!N104</f>
        <v>258313031.28999999</v>
      </c>
    </row>
    <row r="106" spans="1:14" x14ac:dyDescent="0.3">
      <c r="A106" s="298">
        <v>46204</v>
      </c>
      <c r="B106" s="299">
        <f>ВС!B105+ЛП!B105</f>
        <v>875460646.98000002</v>
      </c>
      <c r="C106" s="299">
        <f>ВС!C105+ЛП!C105</f>
        <v>40883141.100000001</v>
      </c>
      <c r="D106" s="299">
        <f>ВС!D105+ЛП!D105</f>
        <v>834577505.88</v>
      </c>
      <c r="E106" s="299">
        <f>ВС!E105+ЛП!E105</f>
        <v>5204802.26</v>
      </c>
      <c r="F106" s="300">
        <f t="shared" si="25"/>
        <v>20</v>
      </c>
      <c r="G106" s="301">
        <f>ВС!G105+ЛП!G105</f>
        <v>1040960.45</v>
      </c>
      <c r="H106" s="302">
        <f>ВС!H105+ЛП!H105</f>
        <v>6245762.71</v>
      </c>
      <c r="I106" s="302">
        <f>ВС!I105+ЛП!I105</f>
        <v>18737288.129999999</v>
      </c>
      <c r="J106" s="303">
        <f t="shared" si="40"/>
        <v>46223</v>
      </c>
      <c r="K106" s="302">
        <f>ВС!K105+ЛП!K105</f>
        <v>865430539.67999995</v>
      </c>
      <c r="L106" s="302">
        <f>ВС!L105+ЛП!L105</f>
        <v>41645853</v>
      </c>
      <c r="M106" s="302">
        <f>ВС!M105+ЛП!M105</f>
        <v>823784686.67999995</v>
      </c>
      <c r="N106" s="302">
        <f>ВС!N105+ЛП!N105</f>
        <v>267020212.12</v>
      </c>
    </row>
    <row r="107" spans="1:14" x14ac:dyDescent="0.3">
      <c r="A107" s="298">
        <v>46235</v>
      </c>
      <c r="B107" s="299">
        <f>ВС!B106+ЛП!B106</f>
        <v>865430539.67999995</v>
      </c>
      <c r="C107" s="299">
        <f>ВС!C106+ЛП!C106</f>
        <v>41645853</v>
      </c>
      <c r="D107" s="299">
        <f>ВС!D106+ЛП!D106</f>
        <v>823784686.67999995</v>
      </c>
      <c r="E107" s="299">
        <f>ВС!E106+ЛП!E106</f>
        <v>5204802.26</v>
      </c>
      <c r="F107" s="300">
        <f t="shared" si="25"/>
        <v>20</v>
      </c>
      <c r="G107" s="301">
        <f>ВС!G106+ЛП!G106</f>
        <v>1040960.45</v>
      </c>
      <c r="H107" s="302">
        <f>ВС!H106+ЛП!H106</f>
        <v>6245762.71</v>
      </c>
      <c r="I107" s="302">
        <f>ВС!I106+ЛП!I106</f>
        <v>0</v>
      </c>
      <c r="J107" s="303" t="str">
        <f t="shared" si="40"/>
        <v>-</v>
      </c>
      <c r="K107" s="302">
        <f>ВС!K106+ЛП!K106</f>
        <v>865430539.67999995</v>
      </c>
      <c r="L107" s="302">
        <f>ВС!L106+ЛП!L106</f>
        <v>41645853</v>
      </c>
      <c r="M107" s="302">
        <f>ВС!M106+ЛП!M106</f>
        <v>823784686.67999995</v>
      </c>
      <c r="N107" s="302">
        <f>ВС!N106+ЛП!N106</f>
        <v>267020212.12</v>
      </c>
    </row>
    <row r="108" spans="1:14" x14ac:dyDescent="0.3">
      <c r="A108" s="298">
        <v>46266</v>
      </c>
      <c r="B108" s="299">
        <f>ВС!B107+ЛП!B107</f>
        <v>865430539.67999995</v>
      </c>
      <c r="C108" s="299">
        <f>ВС!C107+ЛП!C107</f>
        <v>41645853</v>
      </c>
      <c r="D108" s="299">
        <f>ВС!D107+ЛП!D107</f>
        <v>823784686.67999995</v>
      </c>
      <c r="E108" s="299">
        <f>ВС!E107+ЛП!E107</f>
        <v>5204802.26</v>
      </c>
      <c r="F108" s="300">
        <f t="shared" si="25"/>
        <v>20</v>
      </c>
      <c r="G108" s="301">
        <f>ВС!G107+ЛП!G107</f>
        <v>1040960.45</v>
      </c>
      <c r="H108" s="302">
        <f>ВС!H107+ЛП!H107</f>
        <v>6245762.71</v>
      </c>
      <c r="I108" s="302">
        <f>ВС!I107+ЛП!I107</f>
        <v>0</v>
      </c>
      <c r="J108" s="303" t="str">
        <f t="shared" si="40"/>
        <v>-</v>
      </c>
      <c r="K108" s="302">
        <f>ВС!K107+ЛП!K107</f>
        <v>865430539.67999995</v>
      </c>
      <c r="L108" s="302">
        <f>ВС!L107+ЛП!L107</f>
        <v>41645853</v>
      </c>
      <c r="M108" s="302">
        <f>ВС!M107+ЛП!M107</f>
        <v>823784686.67999995</v>
      </c>
      <c r="N108" s="302">
        <f>ВС!N107+ЛП!N107</f>
        <v>267020212.12</v>
      </c>
    </row>
    <row r="109" spans="1:14" x14ac:dyDescent="0.3">
      <c r="A109" s="298">
        <v>46296</v>
      </c>
      <c r="B109" s="299">
        <f>ВС!B108+ЛП!B108</f>
        <v>865430539.67999995</v>
      </c>
      <c r="C109" s="299">
        <f>ВС!C108+ЛП!C108</f>
        <v>41645853</v>
      </c>
      <c r="D109" s="299">
        <f>ВС!D108+ЛП!D108</f>
        <v>823784686.67999995</v>
      </c>
      <c r="E109" s="299">
        <f>ВС!E108+ЛП!E108</f>
        <v>5204802.26</v>
      </c>
      <c r="F109" s="300">
        <f t="shared" si="25"/>
        <v>20</v>
      </c>
      <c r="G109" s="301">
        <f>ВС!G108+ЛП!G108</f>
        <v>1040960.45</v>
      </c>
      <c r="H109" s="302">
        <f>ВС!H108+ЛП!H108</f>
        <v>6245762.71</v>
      </c>
      <c r="I109" s="302">
        <f>ВС!I108+ЛП!I108</f>
        <v>18737288.129999999</v>
      </c>
      <c r="J109" s="303">
        <f t="shared" si="40"/>
        <v>46315</v>
      </c>
      <c r="K109" s="302">
        <f>ВС!K108+ЛП!K108</f>
        <v>855400432.38</v>
      </c>
      <c r="L109" s="302">
        <f>ВС!L108+ЛП!L108</f>
        <v>42408564.899999999</v>
      </c>
      <c r="M109" s="302">
        <f>ВС!M108+ЛП!M108</f>
        <v>812991867.48000002</v>
      </c>
      <c r="N109" s="302">
        <f>ВС!N108+ЛП!N108</f>
        <v>275727392.94999999</v>
      </c>
    </row>
    <row r="110" spans="1:14" x14ac:dyDescent="0.3">
      <c r="A110" s="298">
        <v>46327</v>
      </c>
      <c r="B110" s="299">
        <f>ВС!B109+ЛП!B109</f>
        <v>855400432.38</v>
      </c>
      <c r="C110" s="299">
        <f>ВС!C109+ЛП!C109</f>
        <v>42408564.899999999</v>
      </c>
      <c r="D110" s="299">
        <f>ВС!D109+ЛП!D109</f>
        <v>812991867.48000002</v>
      </c>
      <c r="E110" s="299">
        <f>ВС!E109+ЛП!E109</f>
        <v>5204802.26</v>
      </c>
      <c r="F110" s="300">
        <f t="shared" si="25"/>
        <v>20</v>
      </c>
      <c r="G110" s="301">
        <f>ВС!G109+ЛП!G109</f>
        <v>1040960.45</v>
      </c>
      <c r="H110" s="302">
        <f>ВС!H109+ЛП!H109</f>
        <v>6245762.71</v>
      </c>
      <c r="I110" s="302">
        <f>ВС!I109+ЛП!I109</f>
        <v>0</v>
      </c>
      <c r="J110" s="303" t="str">
        <f t="shared" si="40"/>
        <v>-</v>
      </c>
      <c r="K110" s="302">
        <f>ВС!K109+ЛП!K109</f>
        <v>855400432.38</v>
      </c>
      <c r="L110" s="302">
        <f>ВС!L109+ЛП!L109</f>
        <v>42408564.899999999</v>
      </c>
      <c r="M110" s="302">
        <f>ВС!M109+ЛП!M109</f>
        <v>812991867.48000002</v>
      </c>
      <c r="N110" s="302">
        <f>ВС!N109+ЛП!N109</f>
        <v>275727392.94999999</v>
      </c>
    </row>
    <row r="111" spans="1:14" ht="19.5" thickBot="1" x14ac:dyDescent="0.35">
      <c r="A111" s="285">
        <v>46357</v>
      </c>
      <c r="B111" s="286">
        <f>ВС!B110+ЛП!B110</f>
        <v>855400432.38</v>
      </c>
      <c r="C111" s="286">
        <f>ВС!C110+ЛП!C110</f>
        <v>42408564.899999999</v>
      </c>
      <c r="D111" s="286">
        <f>ВС!D110+ЛП!D110</f>
        <v>812991867.48000002</v>
      </c>
      <c r="E111" s="286">
        <f>ВС!E110+ЛП!E110</f>
        <v>5204802.26</v>
      </c>
      <c r="F111" s="304">
        <f t="shared" si="25"/>
        <v>20</v>
      </c>
      <c r="G111" s="288">
        <f>ВС!G110+ЛП!G110</f>
        <v>1040960.45</v>
      </c>
      <c r="H111" s="289">
        <f>ВС!H110+ЛП!H110</f>
        <v>6245762.71</v>
      </c>
      <c r="I111" s="289">
        <f>ВС!I110+ЛП!I110</f>
        <v>0</v>
      </c>
      <c r="J111" s="290" t="str">
        <f t="shared" si="40"/>
        <v>-</v>
      </c>
      <c r="K111" s="289">
        <f>ВС!K110+ЛП!K110</f>
        <v>855400432.38</v>
      </c>
      <c r="L111" s="289">
        <f>ВС!L110+ЛП!L110</f>
        <v>42408564.899999999</v>
      </c>
      <c r="M111" s="289">
        <f>ВС!M110+ЛП!M110</f>
        <v>812991867.48000002</v>
      </c>
      <c r="N111" s="289">
        <f>ВС!N110+ЛП!N110</f>
        <v>275727392.94999999</v>
      </c>
    </row>
    <row r="112" spans="1:14" s="306" customFormat="1" ht="19.5" thickBot="1" x14ac:dyDescent="0.35">
      <c r="A112" s="291">
        <f>A99+1</f>
        <v>2026</v>
      </c>
      <c r="B112" s="292">
        <f t="shared" ref="B112:D112" si="41">B100</f>
        <v>894778488.73000002</v>
      </c>
      <c r="C112" s="292">
        <f t="shared" si="41"/>
        <v>39378056.350000001</v>
      </c>
      <c r="D112" s="292">
        <f t="shared" si="41"/>
        <v>855400432.38</v>
      </c>
      <c r="E112" s="292">
        <f t="shared" ref="E112" si="42">SUM(E100:E111)</f>
        <v>62457627.119999997</v>
      </c>
      <c r="F112" s="305">
        <f t="shared" si="25"/>
        <v>20</v>
      </c>
      <c r="G112" s="294">
        <f t="shared" ref="G112:I112" si="43">SUM(G100:G111)</f>
        <v>12491525.4</v>
      </c>
      <c r="H112" s="295">
        <f t="shared" si="43"/>
        <v>74949152.519999996</v>
      </c>
      <c r="I112" s="295">
        <f t="shared" si="43"/>
        <v>74206779.670000002</v>
      </c>
      <c r="J112" s="296"/>
      <c r="K112" s="295">
        <f t="shared" ref="K112:N112" si="44">K111</f>
        <v>855400432.38</v>
      </c>
      <c r="L112" s="295">
        <f t="shared" si="44"/>
        <v>42408564.899999999</v>
      </c>
      <c r="M112" s="295">
        <f t="shared" si="44"/>
        <v>812991867.48000002</v>
      </c>
      <c r="N112" s="295">
        <f t="shared" si="44"/>
        <v>275727392.94999999</v>
      </c>
    </row>
    <row r="113" spans="1:14" x14ac:dyDescent="0.3">
      <c r="A113" s="279">
        <v>46388</v>
      </c>
      <c r="B113" s="280">
        <f>ВС!B112+ЛП!B112</f>
        <v>855400432.38</v>
      </c>
      <c r="C113" s="280">
        <f>ВС!C112+ЛП!C112</f>
        <v>42408564.899999999</v>
      </c>
      <c r="D113" s="280">
        <f>ВС!D112+ЛП!D112</f>
        <v>812991867.48000002</v>
      </c>
      <c r="E113" s="280">
        <f>ВС!E112+ЛП!E112</f>
        <v>5416666.6699999999</v>
      </c>
      <c r="F113" s="297">
        <f t="shared" si="25"/>
        <v>20</v>
      </c>
      <c r="G113" s="282">
        <f>ВС!G112+ЛП!G112</f>
        <v>1083333.3400000001</v>
      </c>
      <c r="H113" s="283">
        <f>ВС!H112+ЛП!H112</f>
        <v>6500000.0099999998</v>
      </c>
      <c r="I113" s="283">
        <f>ВС!I112+ЛП!I112</f>
        <v>18737288.129999999</v>
      </c>
      <c r="J113" s="284">
        <f t="shared" ref="J113:J124" si="45">IF(I113=0,"-",A113+19)</f>
        <v>46407</v>
      </c>
      <c r="K113" s="283">
        <f>ВС!K112+ЛП!K112</f>
        <v>845370325.08000004</v>
      </c>
      <c r="L113" s="283">
        <f>ВС!L112+ЛП!L112</f>
        <v>43171276.75</v>
      </c>
      <c r="M113" s="283">
        <f>ВС!M112+ЛП!M112</f>
        <v>802199048.33000004</v>
      </c>
      <c r="N113" s="283">
        <f>ВС!N112+ЛП!N112</f>
        <v>284434573.77999997</v>
      </c>
    </row>
    <row r="114" spans="1:14" x14ac:dyDescent="0.3">
      <c r="A114" s="298">
        <v>46419</v>
      </c>
      <c r="B114" s="299">
        <f>ВС!B113+ЛП!B113</f>
        <v>845370325.08000004</v>
      </c>
      <c r="C114" s="299">
        <f>ВС!C113+ЛП!C113</f>
        <v>43171276.75</v>
      </c>
      <c r="D114" s="299">
        <f>ВС!D113+ЛП!D113</f>
        <v>802199048.33000004</v>
      </c>
      <c r="E114" s="299">
        <f>ВС!E113+ЛП!E113</f>
        <v>5416666.6699999999</v>
      </c>
      <c r="F114" s="300">
        <f t="shared" si="25"/>
        <v>20</v>
      </c>
      <c r="G114" s="301">
        <f>ВС!G113+ЛП!G113</f>
        <v>1083333.3400000001</v>
      </c>
      <c r="H114" s="302">
        <f>ВС!H113+ЛП!H113</f>
        <v>6500000.0099999998</v>
      </c>
      <c r="I114" s="302">
        <f>ВС!I113+ЛП!I113</f>
        <v>0</v>
      </c>
      <c r="J114" s="303" t="str">
        <f t="shared" si="45"/>
        <v>-</v>
      </c>
      <c r="K114" s="302">
        <f>ВС!K113+ЛП!K113</f>
        <v>845370325.08000004</v>
      </c>
      <c r="L114" s="302">
        <f>ВС!L113+ЛП!L113</f>
        <v>43171276.75</v>
      </c>
      <c r="M114" s="302">
        <f>ВС!M113+ЛП!M113</f>
        <v>802199048.33000004</v>
      </c>
      <c r="N114" s="302">
        <f>ВС!N113+ЛП!N113</f>
        <v>284434573.77999997</v>
      </c>
    </row>
    <row r="115" spans="1:14" x14ac:dyDescent="0.3">
      <c r="A115" s="298">
        <v>46447</v>
      </c>
      <c r="B115" s="299">
        <f>ВС!B114+ЛП!B114</f>
        <v>845370325.08000004</v>
      </c>
      <c r="C115" s="299">
        <f>ВС!C114+ЛП!C114</f>
        <v>43171276.75</v>
      </c>
      <c r="D115" s="299">
        <f>ВС!D114+ЛП!D114</f>
        <v>802199048.33000004</v>
      </c>
      <c r="E115" s="299">
        <f>ВС!E114+ЛП!E114</f>
        <v>5416666.6699999999</v>
      </c>
      <c r="F115" s="300">
        <f t="shared" si="25"/>
        <v>20</v>
      </c>
      <c r="G115" s="301">
        <f>ВС!G114+ЛП!G114</f>
        <v>1083333.3400000001</v>
      </c>
      <c r="H115" s="302">
        <f>ВС!H114+ЛП!H114</f>
        <v>6500000.0099999998</v>
      </c>
      <c r="I115" s="302">
        <f>ВС!I114+ЛП!I114</f>
        <v>0</v>
      </c>
      <c r="J115" s="303" t="str">
        <f t="shared" si="45"/>
        <v>-</v>
      </c>
      <c r="K115" s="302">
        <f>ВС!K114+ЛП!K114</f>
        <v>845370325.08000004</v>
      </c>
      <c r="L115" s="302">
        <f>ВС!L114+ЛП!L114</f>
        <v>43171276.75</v>
      </c>
      <c r="M115" s="302">
        <f>ВС!M114+ЛП!M114</f>
        <v>802199048.33000004</v>
      </c>
      <c r="N115" s="302">
        <f>ВС!N114+ЛП!N114</f>
        <v>284434573.77999997</v>
      </c>
    </row>
    <row r="116" spans="1:14" x14ac:dyDescent="0.3">
      <c r="A116" s="298">
        <v>46478</v>
      </c>
      <c r="B116" s="299">
        <f>ВС!B115+ЛП!B115</f>
        <v>845370325.08000004</v>
      </c>
      <c r="C116" s="299">
        <f>ВС!C115+ЛП!C115</f>
        <v>43171276.75</v>
      </c>
      <c r="D116" s="299">
        <f>ВС!D115+ЛП!D115</f>
        <v>802199048.33000004</v>
      </c>
      <c r="E116" s="299">
        <f>ВС!E115+ЛП!E115</f>
        <v>5416666.6699999999</v>
      </c>
      <c r="F116" s="300">
        <f t="shared" si="25"/>
        <v>20</v>
      </c>
      <c r="G116" s="301">
        <f>ВС!G115+ЛП!G115</f>
        <v>1083333.3400000001</v>
      </c>
      <c r="H116" s="302">
        <f>ВС!H115+ЛП!H115</f>
        <v>6500000.0099999998</v>
      </c>
      <c r="I116" s="302">
        <f>ВС!I115+ЛП!I115</f>
        <v>19500000.030000001</v>
      </c>
      <c r="J116" s="303">
        <f t="shared" si="45"/>
        <v>46497</v>
      </c>
      <c r="K116" s="302">
        <f>ВС!K115+ЛП!K115</f>
        <v>834577505.88</v>
      </c>
      <c r="L116" s="302">
        <f>ВС!L115+ЛП!L115</f>
        <v>43951785.219999999</v>
      </c>
      <c r="M116" s="302">
        <f>ВС!M115+ЛП!M115</f>
        <v>790625720.65999997</v>
      </c>
      <c r="N116" s="302">
        <f>ВС!N115+ЛП!N115</f>
        <v>293141754.61000001</v>
      </c>
    </row>
    <row r="117" spans="1:14" x14ac:dyDescent="0.3">
      <c r="A117" s="298">
        <v>46508</v>
      </c>
      <c r="B117" s="299">
        <f>ВС!B116+ЛП!B116</f>
        <v>834577505.88</v>
      </c>
      <c r="C117" s="299">
        <f>ВС!C116+ЛП!C116</f>
        <v>43951785.219999999</v>
      </c>
      <c r="D117" s="299">
        <f>ВС!D116+ЛП!D116</f>
        <v>790625720.65999997</v>
      </c>
      <c r="E117" s="299">
        <f>ВС!E116+ЛП!E116</f>
        <v>5416666.6699999999</v>
      </c>
      <c r="F117" s="300">
        <f t="shared" si="25"/>
        <v>20</v>
      </c>
      <c r="G117" s="301">
        <f>ВС!G116+ЛП!G116</f>
        <v>1083333.3400000001</v>
      </c>
      <c r="H117" s="302">
        <f>ВС!H116+ЛП!H116</f>
        <v>6500000.0099999998</v>
      </c>
      <c r="I117" s="302">
        <f>ВС!I116+ЛП!I116</f>
        <v>0</v>
      </c>
      <c r="J117" s="303" t="str">
        <f t="shared" si="45"/>
        <v>-</v>
      </c>
      <c r="K117" s="302">
        <f>ВС!K116+ЛП!K116</f>
        <v>834577505.88</v>
      </c>
      <c r="L117" s="302">
        <f>ВС!L116+ЛП!L116</f>
        <v>43951785.219999999</v>
      </c>
      <c r="M117" s="302">
        <f>ВС!M116+ЛП!M116</f>
        <v>790625720.65999997</v>
      </c>
      <c r="N117" s="302">
        <f>ВС!N116+ЛП!N116</f>
        <v>293141754.61000001</v>
      </c>
    </row>
    <row r="118" spans="1:14" x14ac:dyDescent="0.3">
      <c r="A118" s="298">
        <v>46539</v>
      </c>
      <c r="B118" s="299">
        <f>ВС!B117+ЛП!B117</f>
        <v>834577505.88</v>
      </c>
      <c r="C118" s="299">
        <f>ВС!C117+ЛП!C117</f>
        <v>43951785.219999999</v>
      </c>
      <c r="D118" s="299">
        <f>ВС!D117+ЛП!D117</f>
        <v>790625720.65999997</v>
      </c>
      <c r="E118" s="299">
        <f>ВС!E117+ЛП!E117</f>
        <v>5416666.6699999999</v>
      </c>
      <c r="F118" s="300">
        <f t="shared" si="25"/>
        <v>20</v>
      </c>
      <c r="G118" s="301">
        <f>ВС!G117+ЛП!G117</f>
        <v>1083333.3400000001</v>
      </c>
      <c r="H118" s="302">
        <f>ВС!H117+ЛП!H117</f>
        <v>6500000.0099999998</v>
      </c>
      <c r="I118" s="302">
        <f>ВС!I117+ЛП!I117</f>
        <v>0</v>
      </c>
      <c r="J118" s="303" t="str">
        <f t="shared" si="45"/>
        <v>-</v>
      </c>
      <c r="K118" s="302">
        <f>ВС!K117+ЛП!K117</f>
        <v>834577505.88</v>
      </c>
      <c r="L118" s="302">
        <f>ВС!L117+ЛП!L117</f>
        <v>43951785.219999999</v>
      </c>
      <c r="M118" s="302">
        <f>ВС!M117+ЛП!M117</f>
        <v>790625720.65999997</v>
      </c>
      <c r="N118" s="302">
        <f>ВС!N117+ЛП!N117</f>
        <v>293141754.61000001</v>
      </c>
    </row>
    <row r="119" spans="1:14" x14ac:dyDescent="0.3">
      <c r="A119" s="298">
        <v>46569</v>
      </c>
      <c r="B119" s="299">
        <f>ВС!B118+ЛП!B118</f>
        <v>834577505.88</v>
      </c>
      <c r="C119" s="299">
        <f>ВС!C118+ЛП!C118</f>
        <v>43951785.219999999</v>
      </c>
      <c r="D119" s="299">
        <f>ВС!D118+ЛП!D118</f>
        <v>790625720.65999997</v>
      </c>
      <c r="E119" s="299">
        <f>ВС!E118+ЛП!E118</f>
        <v>5416666.6699999999</v>
      </c>
      <c r="F119" s="300">
        <f t="shared" si="25"/>
        <v>20</v>
      </c>
      <c r="G119" s="301">
        <f>ВС!G118+ЛП!G118</f>
        <v>1083333.3400000001</v>
      </c>
      <c r="H119" s="302">
        <f>ВС!H118+ЛП!H118</f>
        <v>6500000.0099999998</v>
      </c>
      <c r="I119" s="302">
        <f>ВС!I118+ЛП!I118</f>
        <v>19500000.030000001</v>
      </c>
      <c r="J119" s="303">
        <f t="shared" si="45"/>
        <v>46588</v>
      </c>
      <c r="K119" s="302">
        <f>ВС!K118+ЛП!K118</f>
        <v>823784686.67999995</v>
      </c>
      <c r="L119" s="302">
        <f>ВС!L118+ЛП!L118</f>
        <v>44732293.689999998</v>
      </c>
      <c r="M119" s="302">
        <f>ВС!M118+ЛП!M118</f>
        <v>779052392.99000001</v>
      </c>
      <c r="N119" s="302">
        <f>ВС!N118+ЛП!N118</f>
        <v>301848935.44</v>
      </c>
    </row>
    <row r="120" spans="1:14" x14ac:dyDescent="0.3">
      <c r="A120" s="298">
        <v>46600</v>
      </c>
      <c r="B120" s="299">
        <f>ВС!B119+ЛП!B119</f>
        <v>823784686.67999995</v>
      </c>
      <c r="C120" s="299">
        <f>ВС!C119+ЛП!C119</f>
        <v>44732293.689999998</v>
      </c>
      <c r="D120" s="299">
        <f>ВС!D119+ЛП!D119</f>
        <v>779052392.99000001</v>
      </c>
      <c r="E120" s="299">
        <f>ВС!E119+ЛП!E119</f>
        <v>5416666.6699999999</v>
      </c>
      <c r="F120" s="300">
        <f t="shared" si="25"/>
        <v>20</v>
      </c>
      <c r="G120" s="301">
        <f>ВС!G119+ЛП!G119</f>
        <v>1083333.3400000001</v>
      </c>
      <c r="H120" s="302">
        <f>ВС!H119+ЛП!H119</f>
        <v>6500000.0099999998</v>
      </c>
      <c r="I120" s="302">
        <f>ВС!I119+ЛП!I119</f>
        <v>0</v>
      </c>
      <c r="J120" s="303" t="str">
        <f t="shared" si="45"/>
        <v>-</v>
      </c>
      <c r="K120" s="302">
        <f>ВС!K119+ЛП!K119</f>
        <v>823784686.67999995</v>
      </c>
      <c r="L120" s="302">
        <f>ВС!L119+ЛП!L119</f>
        <v>44732293.689999998</v>
      </c>
      <c r="M120" s="302">
        <f>ВС!M119+ЛП!M119</f>
        <v>779052392.99000001</v>
      </c>
      <c r="N120" s="302">
        <f>ВС!N119+ЛП!N119</f>
        <v>301848935.44</v>
      </c>
    </row>
    <row r="121" spans="1:14" x14ac:dyDescent="0.3">
      <c r="A121" s="298">
        <v>46631</v>
      </c>
      <c r="B121" s="299">
        <f>ВС!B120+ЛП!B120</f>
        <v>823784686.67999995</v>
      </c>
      <c r="C121" s="299">
        <f>ВС!C120+ЛП!C120</f>
        <v>44732293.689999998</v>
      </c>
      <c r="D121" s="299">
        <f>ВС!D120+ЛП!D120</f>
        <v>779052392.99000001</v>
      </c>
      <c r="E121" s="299">
        <f>ВС!E120+ЛП!E120</f>
        <v>5416666.6699999999</v>
      </c>
      <c r="F121" s="300">
        <f t="shared" si="25"/>
        <v>20</v>
      </c>
      <c r="G121" s="301">
        <f>ВС!G120+ЛП!G120</f>
        <v>1083333.3400000001</v>
      </c>
      <c r="H121" s="302">
        <f>ВС!H120+ЛП!H120</f>
        <v>6500000.0099999998</v>
      </c>
      <c r="I121" s="302">
        <f>ВС!I120+ЛП!I120</f>
        <v>0</v>
      </c>
      <c r="J121" s="303" t="str">
        <f t="shared" si="45"/>
        <v>-</v>
      </c>
      <c r="K121" s="302">
        <f>ВС!K120+ЛП!K120</f>
        <v>823784686.67999995</v>
      </c>
      <c r="L121" s="302">
        <f>ВС!L120+ЛП!L120</f>
        <v>44732293.689999998</v>
      </c>
      <c r="M121" s="302">
        <f>ВС!M120+ЛП!M120</f>
        <v>779052392.99000001</v>
      </c>
      <c r="N121" s="302">
        <f>ВС!N120+ЛП!N120</f>
        <v>301848935.44</v>
      </c>
    </row>
    <row r="122" spans="1:14" x14ac:dyDescent="0.3">
      <c r="A122" s="298">
        <v>46661</v>
      </c>
      <c r="B122" s="299">
        <f>ВС!B121+ЛП!B121</f>
        <v>823784686.67999995</v>
      </c>
      <c r="C122" s="299">
        <f>ВС!C121+ЛП!C121</f>
        <v>44732293.689999998</v>
      </c>
      <c r="D122" s="299">
        <f>ВС!D121+ЛП!D121</f>
        <v>779052392.99000001</v>
      </c>
      <c r="E122" s="299">
        <f>ВС!E121+ЛП!E121</f>
        <v>5416666.6699999999</v>
      </c>
      <c r="F122" s="300">
        <f t="shared" si="25"/>
        <v>20</v>
      </c>
      <c r="G122" s="301">
        <f>ВС!G121+ЛП!G121</f>
        <v>1083333.3400000001</v>
      </c>
      <c r="H122" s="302">
        <f>ВС!H121+ЛП!H121</f>
        <v>6500000.0099999998</v>
      </c>
      <c r="I122" s="302">
        <f>ВС!I121+ЛП!I121</f>
        <v>19500000.030000001</v>
      </c>
      <c r="J122" s="303">
        <f t="shared" si="45"/>
        <v>46680</v>
      </c>
      <c r="K122" s="302">
        <f>ВС!K121+ЛП!K121</f>
        <v>812991867.48000002</v>
      </c>
      <c r="L122" s="302">
        <f>ВС!L121+ЛП!L121</f>
        <v>45512802.159999996</v>
      </c>
      <c r="M122" s="302">
        <f>ВС!M121+ЛП!M121</f>
        <v>767479065.32000005</v>
      </c>
      <c r="N122" s="302">
        <f>ВС!N121+ЛП!N121</f>
        <v>310556116.26999998</v>
      </c>
    </row>
    <row r="123" spans="1:14" x14ac:dyDescent="0.3">
      <c r="A123" s="298">
        <v>46692</v>
      </c>
      <c r="B123" s="299">
        <f>ВС!B122+ЛП!B122</f>
        <v>812991867.48000002</v>
      </c>
      <c r="C123" s="299">
        <f>ВС!C122+ЛП!C122</f>
        <v>45512802.159999996</v>
      </c>
      <c r="D123" s="299">
        <f>ВС!D122+ЛП!D122</f>
        <v>767479065.32000005</v>
      </c>
      <c r="E123" s="299">
        <f>ВС!E122+ЛП!E122</f>
        <v>5416666.6699999999</v>
      </c>
      <c r="F123" s="300">
        <f t="shared" si="25"/>
        <v>20</v>
      </c>
      <c r="G123" s="301">
        <f>ВС!G122+ЛП!G122</f>
        <v>1083333.3400000001</v>
      </c>
      <c r="H123" s="302">
        <f>ВС!H122+ЛП!H122</f>
        <v>6500000.0099999998</v>
      </c>
      <c r="I123" s="302">
        <f>ВС!I122+ЛП!I122</f>
        <v>0</v>
      </c>
      <c r="J123" s="303" t="str">
        <f t="shared" si="45"/>
        <v>-</v>
      </c>
      <c r="K123" s="302">
        <f>ВС!K122+ЛП!K122</f>
        <v>812991867.48000002</v>
      </c>
      <c r="L123" s="302">
        <f>ВС!L122+ЛП!L122</f>
        <v>45512802.159999996</v>
      </c>
      <c r="M123" s="302">
        <f>ВС!M122+ЛП!M122</f>
        <v>767479065.32000005</v>
      </c>
      <c r="N123" s="302">
        <f>ВС!N122+ЛП!N122</f>
        <v>310556116.26999998</v>
      </c>
    </row>
    <row r="124" spans="1:14" ht="19.5" thickBot="1" x14ac:dyDescent="0.35">
      <c r="A124" s="285">
        <v>46722</v>
      </c>
      <c r="B124" s="286">
        <f>ВС!B123+ЛП!B123</f>
        <v>812991867.48000002</v>
      </c>
      <c r="C124" s="286">
        <f>ВС!C123+ЛП!C123</f>
        <v>45512802.159999996</v>
      </c>
      <c r="D124" s="286">
        <f>ВС!D123+ЛП!D123</f>
        <v>767479065.32000005</v>
      </c>
      <c r="E124" s="286">
        <f>ВС!E123+ЛП!E123</f>
        <v>5416666.6299999999</v>
      </c>
      <c r="F124" s="304">
        <f t="shared" si="25"/>
        <v>20</v>
      </c>
      <c r="G124" s="288">
        <f>ВС!G123+ЛП!G123</f>
        <v>1083333.33</v>
      </c>
      <c r="H124" s="289">
        <f>ВС!H123+ЛП!H123</f>
        <v>6499999.96</v>
      </c>
      <c r="I124" s="289">
        <f>ВС!I123+ЛП!I123</f>
        <v>0</v>
      </c>
      <c r="J124" s="290" t="str">
        <f t="shared" si="45"/>
        <v>-</v>
      </c>
      <c r="K124" s="289">
        <f>ВС!K123+ЛП!K123</f>
        <v>812991867.48000002</v>
      </c>
      <c r="L124" s="289">
        <f>ВС!L123+ЛП!L123</f>
        <v>45512802.159999996</v>
      </c>
      <c r="M124" s="289">
        <f>ВС!M123+ЛП!M123</f>
        <v>767479065.32000005</v>
      </c>
      <c r="N124" s="289">
        <f>ВС!N123+ЛП!N123</f>
        <v>310556116.26999998</v>
      </c>
    </row>
    <row r="125" spans="1:14" s="306" customFormat="1" ht="19.5" thickBot="1" x14ac:dyDescent="0.35">
      <c r="A125" s="291">
        <f>A112+1</f>
        <v>2027</v>
      </c>
      <c r="B125" s="292">
        <f t="shared" ref="B125:D125" si="46">B113</f>
        <v>855400432.38</v>
      </c>
      <c r="C125" s="292">
        <f t="shared" si="46"/>
        <v>42408564.899999999</v>
      </c>
      <c r="D125" s="292">
        <f t="shared" si="46"/>
        <v>812991867.48000002</v>
      </c>
      <c r="E125" s="292">
        <f t="shared" ref="E125" si="47">SUM(E113:E124)</f>
        <v>65000000</v>
      </c>
      <c r="F125" s="305">
        <f t="shared" si="25"/>
        <v>20</v>
      </c>
      <c r="G125" s="294">
        <f t="shared" ref="G125:I125" si="48">SUM(G113:G124)</f>
        <v>13000000.07</v>
      </c>
      <c r="H125" s="295">
        <f t="shared" si="48"/>
        <v>78000000.069999993</v>
      </c>
      <c r="I125" s="295">
        <f t="shared" si="48"/>
        <v>77237288.219999999</v>
      </c>
      <c r="J125" s="296"/>
      <c r="K125" s="295">
        <f t="shared" ref="K125:N125" si="49">K124</f>
        <v>812991867.48000002</v>
      </c>
      <c r="L125" s="295">
        <f t="shared" si="49"/>
        <v>45512802.159999996</v>
      </c>
      <c r="M125" s="295">
        <f t="shared" si="49"/>
        <v>767479065.32000005</v>
      </c>
      <c r="N125" s="295">
        <f t="shared" si="49"/>
        <v>310556116.26999998</v>
      </c>
    </row>
    <row r="126" spans="1:14" x14ac:dyDescent="0.3">
      <c r="A126" s="279">
        <v>46753</v>
      </c>
      <c r="B126" s="280">
        <f>ВС!B125+ЛП!B125</f>
        <v>812991867.48000002</v>
      </c>
      <c r="C126" s="280">
        <f>ВС!C125+ЛП!C125</f>
        <v>45512802.159999996</v>
      </c>
      <c r="D126" s="280">
        <f>ВС!D125+ЛП!D125</f>
        <v>767479065.32000005</v>
      </c>
      <c r="E126" s="280">
        <f>ВС!E125+ЛП!E125</f>
        <v>5633474.5800000001</v>
      </c>
      <c r="F126" s="297">
        <f t="shared" si="25"/>
        <v>20</v>
      </c>
      <c r="G126" s="282">
        <f>ВС!G125+ЛП!G125</f>
        <v>1126694.92</v>
      </c>
      <c r="H126" s="283">
        <f>ВС!H125+ЛП!H125</f>
        <v>6760169.5</v>
      </c>
      <c r="I126" s="283">
        <f>ВС!I125+ЛП!I125</f>
        <v>19499999.98</v>
      </c>
      <c r="J126" s="284">
        <f t="shared" ref="J126:J137" si="50">IF(I126=0,"-",A126+19)</f>
        <v>46772</v>
      </c>
      <c r="K126" s="283">
        <f>ВС!K125+ЛП!K125</f>
        <v>802199048.33000004</v>
      </c>
      <c r="L126" s="283">
        <f>ВС!L125+ЛП!L125</f>
        <v>46293310.630000003</v>
      </c>
      <c r="M126" s="283">
        <f>ВС!M125+ЛП!M125</f>
        <v>755905737.70000005</v>
      </c>
      <c r="N126" s="283">
        <f>ВС!N125+ЛП!N125</f>
        <v>319263297.10000002</v>
      </c>
    </row>
    <row r="127" spans="1:14" x14ac:dyDescent="0.3">
      <c r="A127" s="298">
        <v>46784</v>
      </c>
      <c r="B127" s="299">
        <f>ВС!B126+ЛП!B126</f>
        <v>802199048.33000004</v>
      </c>
      <c r="C127" s="299">
        <f>ВС!C126+ЛП!C126</f>
        <v>46293310.630000003</v>
      </c>
      <c r="D127" s="299">
        <f>ВС!D126+ЛП!D126</f>
        <v>755905737.70000005</v>
      </c>
      <c r="E127" s="299">
        <f>ВС!E126+ЛП!E126</f>
        <v>5633474.5800000001</v>
      </c>
      <c r="F127" s="300">
        <f t="shared" si="25"/>
        <v>20</v>
      </c>
      <c r="G127" s="301">
        <f>ВС!G126+ЛП!G126</f>
        <v>1126694.92</v>
      </c>
      <c r="H127" s="302">
        <f>ВС!H126+ЛП!H126</f>
        <v>6760169.5</v>
      </c>
      <c r="I127" s="302">
        <f>ВС!I126+ЛП!I126</f>
        <v>0</v>
      </c>
      <c r="J127" s="303" t="str">
        <f t="shared" si="50"/>
        <v>-</v>
      </c>
      <c r="K127" s="302">
        <f>ВС!K126+ЛП!K126</f>
        <v>802199048.33000004</v>
      </c>
      <c r="L127" s="302">
        <f>ВС!L126+ЛП!L126</f>
        <v>46293310.630000003</v>
      </c>
      <c r="M127" s="302">
        <f>ВС!M126+ЛП!M126</f>
        <v>755905737.70000005</v>
      </c>
      <c r="N127" s="302">
        <f>ВС!N126+ЛП!N126</f>
        <v>319263297.10000002</v>
      </c>
    </row>
    <row r="128" spans="1:14" x14ac:dyDescent="0.3">
      <c r="A128" s="298">
        <v>46813</v>
      </c>
      <c r="B128" s="299">
        <f>ВС!B127+ЛП!B127</f>
        <v>802199048.33000004</v>
      </c>
      <c r="C128" s="299">
        <f>ВС!C127+ЛП!C127</f>
        <v>46293310.630000003</v>
      </c>
      <c r="D128" s="299">
        <f>ВС!D127+ЛП!D127</f>
        <v>755905737.70000005</v>
      </c>
      <c r="E128" s="299">
        <f>ВС!E127+ЛП!E127</f>
        <v>5633474.5800000001</v>
      </c>
      <c r="F128" s="300">
        <f t="shared" si="25"/>
        <v>20</v>
      </c>
      <c r="G128" s="301">
        <f>ВС!G127+ЛП!G127</f>
        <v>1126694.92</v>
      </c>
      <c r="H128" s="302">
        <f>ВС!H127+ЛП!H127</f>
        <v>6760169.5</v>
      </c>
      <c r="I128" s="302">
        <f>ВС!I127+ЛП!I127</f>
        <v>0</v>
      </c>
      <c r="J128" s="303" t="str">
        <f t="shared" si="50"/>
        <v>-</v>
      </c>
      <c r="K128" s="302">
        <f>ВС!K127+ЛП!K127</f>
        <v>802199048.33000004</v>
      </c>
      <c r="L128" s="302">
        <f>ВС!L127+ЛП!L127</f>
        <v>46293310.630000003</v>
      </c>
      <c r="M128" s="302">
        <f>ВС!M127+ЛП!M127</f>
        <v>755905737.70000005</v>
      </c>
      <c r="N128" s="302">
        <f>ВС!N127+ЛП!N127</f>
        <v>319263297.10000002</v>
      </c>
    </row>
    <row r="129" spans="1:14" x14ac:dyDescent="0.3">
      <c r="A129" s="298">
        <v>46844</v>
      </c>
      <c r="B129" s="299">
        <f>ВС!B128+ЛП!B128</f>
        <v>802199048.33000004</v>
      </c>
      <c r="C129" s="299">
        <f>ВС!C128+ЛП!C128</f>
        <v>46293310.630000003</v>
      </c>
      <c r="D129" s="299">
        <f>ВС!D128+ЛП!D128</f>
        <v>755905737.70000005</v>
      </c>
      <c r="E129" s="299">
        <f>ВС!E128+ЛП!E128</f>
        <v>5633474.5800000001</v>
      </c>
      <c r="F129" s="300">
        <f t="shared" si="25"/>
        <v>20</v>
      </c>
      <c r="G129" s="301">
        <f>ВС!G128+ЛП!G128</f>
        <v>1126694.92</v>
      </c>
      <c r="H129" s="302">
        <f>ВС!H128+ЛП!H128</f>
        <v>6760169.5</v>
      </c>
      <c r="I129" s="302">
        <f>ВС!I128+ЛП!I128</f>
        <v>20280508.5</v>
      </c>
      <c r="J129" s="303">
        <f t="shared" si="50"/>
        <v>46863</v>
      </c>
      <c r="K129" s="302">
        <f>ВС!K128+ЛП!K128</f>
        <v>790625720.65999997</v>
      </c>
      <c r="L129" s="302">
        <f>ВС!L128+ЛП!L128</f>
        <v>47096700.460000001</v>
      </c>
      <c r="M129" s="302">
        <f>ВС!M128+ЛП!M128</f>
        <v>743529020.20000005</v>
      </c>
      <c r="N129" s="302">
        <f>ВС!N128+ЛП!N128</f>
        <v>327970477.93000001</v>
      </c>
    </row>
    <row r="130" spans="1:14" x14ac:dyDescent="0.3">
      <c r="A130" s="298">
        <v>46874</v>
      </c>
      <c r="B130" s="299">
        <f>ВС!B129+ЛП!B129</f>
        <v>790625720.65999997</v>
      </c>
      <c r="C130" s="299">
        <f>ВС!C129+ЛП!C129</f>
        <v>47096700.460000001</v>
      </c>
      <c r="D130" s="299">
        <f>ВС!D129+ЛП!D129</f>
        <v>743529020.20000005</v>
      </c>
      <c r="E130" s="299">
        <f>ВС!E129+ЛП!E129</f>
        <v>5633474.5800000001</v>
      </c>
      <c r="F130" s="300">
        <f t="shared" si="25"/>
        <v>20</v>
      </c>
      <c r="G130" s="301">
        <f>ВС!G129+ЛП!G129</f>
        <v>1126694.92</v>
      </c>
      <c r="H130" s="302">
        <f>ВС!H129+ЛП!H129</f>
        <v>6760169.5</v>
      </c>
      <c r="I130" s="302">
        <f>ВС!I129+ЛП!I129</f>
        <v>0</v>
      </c>
      <c r="J130" s="303" t="str">
        <f t="shared" si="50"/>
        <v>-</v>
      </c>
      <c r="K130" s="302">
        <f>ВС!K129+ЛП!K129</f>
        <v>790625720.65999997</v>
      </c>
      <c r="L130" s="302">
        <f>ВС!L129+ЛП!L129</f>
        <v>47096700.460000001</v>
      </c>
      <c r="M130" s="302">
        <f>ВС!M129+ЛП!M129</f>
        <v>743529020.20000005</v>
      </c>
      <c r="N130" s="302">
        <f>ВС!N129+ЛП!N129</f>
        <v>327970477.93000001</v>
      </c>
    </row>
    <row r="131" spans="1:14" x14ac:dyDescent="0.3">
      <c r="A131" s="298">
        <v>46905</v>
      </c>
      <c r="B131" s="299">
        <f>ВС!B130+ЛП!B130</f>
        <v>790625720.65999997</v>
      </c>
      <c r="C131" s="299">
        <f>ВС!C130+ЛП!C130</f>
        <v>47096700.460000001</v>
      </c>
      <c r="D131" s="299">
        <f>ВС!D130+ЛП!D130</f>
        <v>743529020.20000005</v>
      </c>
      <c r="E131" s="299">
        <f>ВС!E130+ЛП!E130</f>
        <v>5633474.5800000001</v>
      </c>
      <c r="F131" s="300">
        <f t="shared" si="25"/>
        <v>20</v>
      </c>
      <c r="G131" s="301">
        <f>ВС!G130+ЛП!G130</f>
        <v>1126694.92</v>
      </c>
      <c r="H131" s="302">
        <f>ВС!H130+ЛП!H130</f>
        <v>6760169.5</v>
      </c>
      <c r="I131" s="302">
        <f>ВС!I130+ЛП!I130</f>
        <v>0</v>
      </c>
      <c r="J131" s="303" t="str">
        <f t="shared" si="50"/>
        <v>-</v>
      </c>
      <c r="K131" s="302">
        <f>ВС!K130+ЛП!K130</f>
        <v>790625720.65999997</v>
      </c>
      <c r="L131" s="302">
        <f>ВС!L130+ЛП!L130</f>
        <v>47096700.460000001</v>
      </c>
      <c r="M131" s="302">
        <f>ВС!M130+ЛП!M130</f>
        <v>743529020.20000005</v>
      </c>
      <c r="N131" s="302">
        <f>ВС!N130+ЛП!N130</f>
        <v>327970477.93000001</v>
      </c>
    </row>
    <row r="132" spans="1:14" x14ac:dyDescent="0.3">
      <c r="A132" s="298">
        <v>46935</v>
      </c>
      <c r="B132" s="299">
        <f>ВС!B131+ЛП!B131</f>
        <v>790625720.65999997</v>
      </c>
      <c r="C132" s="299">
        <f>ВС!C131+ЛП!C131</f>
        <v>47096700.460000001</v>
      </c>
      <c r="D132" s="299">
        <f>ВС!D131+ЛП!D131</f>
        <v>743529020.20000005</v>
      </c>
      <c r="E132" s="299">
        <f>ВС!E131+ЛП!E131</f>
        <v>5633474.5800000001</v>
      </c>
      <c r="F132" s="300">
        <f t="shared" si="25"/>
        <v>20</v>
      </c>
      <c r="G132" s="301">
        <f>ВС!G131+ЛП!G131</f>
        <v>1126694.92</v>
      </c>
      <c r="H132" s="302">
        <f>ВС!H131+ЛП!H131</f>
        <v>6760169.5</v>
      </c>
      <c r="I132" s="302">
        <f>ВС!I131+ЛП!I131</f>
        <v>20280508.5</v>
      </c>
      <c r="J132" s="303">
        <f t="shared" si="50"/>
        <v>46954</v>
      </c>
      <c r="K132" s="302">
        <f>ВС!K131+ЛП!K131</f>
        <v>779052392.99000001</v>
      </c>
      <c r="L132" s="302">
        <f>ВС!L131+ЛП!L131</f>
        <v>47900090.289999999</v>
      </c>
      <c r="M132" s="302">
        <f>ВС!M131+ЛП!M131</f>
        <v>731152302.70000005</v>
      </c>
      <c r="N132" s="302">
        <f>ВС!N131+ЛП!N131</f>
        <v>336677658.75999999</v>
      </c>
    </row>
    <row r="133" spans="1:14" x14ac:dyDescent="0.3">
      <c r="A133" s="298">
        <v>46966</v>
      </c>
      <c r="B133" s="299">
        <f>ВС!B132+ЛП!B132</f>
        <v>779052392.99000001</v>
      </c>
      <c r="C133" s="299">
        <f>ВС!C132+ЛП!C132</f>
        <v>47900090.289999999</v>
      </c>
      <c r="D133" s="299">
        <f>ВС!D132+ЛП!D132</f>
        <v>731152302.70000005</v>
      </c>
      <c r="E133" s="299">
        <f>ВС!E132+ЛП!E132</f>
        <v>5633474.5800000001</v>
      </c>
      <c r="F133" s="300">
        <f t="shared" si="25"/>
        <v>20</v>
      </c>
      <c r="G133" s="301">
        <f>ВС!G132+ЛП!G132</f>
        <v>1126694.92</v>
      </c>
      <c r="H133" s="302">
        <f>ВС!H132+ЛП!H132</f>
        <v>6760169.5</v>
      </c>
      <c r="I133" s="302">
        <f>ВС!I132+ЛП!I132</f>
        <v>0</v>
      </c>
      <c r="J133" s="303" t="str">
        <f t="shared" si="50"/>
        <v>-</v>
      </c>
      <c r="K133" s="302">
        <f>ВС!K132+ЛП!K132</f>
        <v>779052392.99000001</v>
      </c>
      <c r="L133" s="302">
        <f>ВС!L132+ЛП!L132</f>
        <v>47900090.289999999</v>
      </c>
      <c r="M133" s="302">
        <f>ВС!M132+ЛП!M132</f>
        <v>731152302.70000005</v>
      </c>
      <c r="N133" s="302">
        <f>ВС!N132+ЛП!N132</f>
        <v>336677658.75999999</v>
      </c>
    </row>
    <row r="134" spans="1:14" x14ac:dyDescent="0.3">
      <c r="A134" s="298">
        <v>46997</v>
      </c>
      <c r="B134" s="299">
        <f>ВС!B133+ЛП!B133</f>
        <v>779052392.99000001</v>
      </c>
      <c r="C134" s="299">
        <f>ВС!C133+ЛП!C133</f>
        <v>47900090.289999999</v>
      </c>
      <c r="D134" s="299">
        <f>ВС!D133+ЛП!D133</f>
        <v>731152302.70000005</v>
      </c>
      <c r="E134" s="299">
        <f>ВС!E133+ЛП!E133</f>
        <v>5633474.5800000001</v>
      </c>
      <c r="F134" s="300">
        <f t="shared" si="25"/>
        <v>20</v>
      </c>
      <c r="G134" s="301">
        <f>ВС!G133+ЛП!G133</f>
        <v>1126694.92</v>
      </c>
      <c r="H134" s="302">
        <f>ВС!H133+ЛП!H133</f>
        <v>6760169.5</v>
      </c>
      <c r="I134" s="302">
        <f>ВС!I133+ЛП!I133</f>
        <v>0</v>
      </c>
      <c r="J134" s="303" t="str">
        <f t="shared" si="50"/>
        <v>-</v>
      </c>
      <c r="K134" s="302">
        <f>ВС!K133+ЛП!K133</f>
        <v>779052392.99000001</v>
      </c>
      <c r="L134" s="302">
        <f>ВС!L133+ЛП!L133</f>
        <v>47900090.289999999</v>
      </c>
      <c r="M134" s="302">
        <f>ВС!M133+ЛП!M133</f>
        <v>731152302.70000005</v>
      </c>
      <c r="N134" s="302">
        <f>ВС!N133+ЛП!N133</f>
        <v>336677658.75999999</v>
      </c>
    </row>
    <row r="135" spans="1:14" x14ac:dyDescent="0.3">
      <c r="A135" s="298">
        <v>47027</v>
      </c>
      <c r="B135" s="299">
        <f>ВС!B134+ЛП!B134</f>
        <v>779052392.99000001</v>
      </c>
      <c r="C135" s="299">
        <f>ВС!C134+ЛП!C134</f>
        <v>47900090.289999999</v>
      </c>
      <c r="D135" s="299">
        <f>ВС!D134+ЛП!D134</f>
        <v>731152302.70000005</v>
      </c>
      <c r="E135" s="299">
        <f>ВС!E134+ЛП!E134</f>
        <v>5633474.5800000001</v>
      </c>
      <c r="F135" s="300">
        <f t="shared" ref="F135:F198" si="51">G135/E135*100</f>
        <v>20</v>
      </c>
      <c r="G135" s="301">
        <f>ВС!G134+ЛП!G134</f>
        <v>1126694.92</v>
      </c>
      <c r="H135" s="302">
        <f>ВС!H134+ЛП!H134</f>
        <v>6760169.5</v>
      </c>
      <c r="I135" s="302">
        <f>ВС!I134+ЛП!I134</f>
        <v>20280508.5</v>
      </c>
      <c r="J135" s="303">
        <f t="shared" si="50"/>
        <v>47046</v>
      </c>
      <c r="K135" s="302">
        <f>ВС!K134+ЛП!K134</f>
        <v>767479065.32000005</v>
      </c>
      <c r="L135" s="302">
        <f>ВС!L134+ЛП!L134</f>
        <v>48703480.119999997</v>
      </c>
      <c r="M135" s="302">
        <f>ВС!M134+ЛП!M134</f>
        <v>718775585.20000005</v>
      </c>
      <c r="N135" s="302">
        <f>ВС!N134+ЛП!N134</f>
        <v>345384839.58999997</v>
      </c>
    </row>
    <row r="136" spans="1:14" x14ac:dyDescent="0.3">
      <c r="A136" s="298">
        <v>47058</v>
      </c>
      <c r="B136" s="299">
        <f>ВС!B135+ЛП!B135</f>
        <v>767479065.32000005</v>
      </c>
      <c r="C136" s="299">
        <f>ВС!C135+ЛП!C135</f>
        <v>48703480.119999997</v>
      </c>
      <c r="D136" s="299">
        <f>ВС!D135+ЛП!D135</f>
        <v>718775585.20000005</v>
      </c>
      <c r="E136" s="299">
        <f>ВС!E135+ЛП!E135</f>
        <v>5633474.5800000001</v>
      </c>
      <c r="F136" s="300">
        <f t="shared" si="51"/>
        <v>20</v>
      </c>
      <c r="G136" s="301">
        <f>ВС!G135+ЛП!G135</f>
        <v>1126694.92</v>
      </c>
      <c r="H136" s="302">
        <f>ВС!H135+ЛП!H135</f>
        <v>6760169.5</v>
      </c>
      <c r="I136" s="302">
        <f>ВС!I135+ЛП!I135</f>
        <v>0</v>
      </c>
      <c r="J136" s="303" t="str">
        <f t="shared" si="50"/>
        <v>-</v>
      </c>
      <c r="K136" s="302">
        <f>ВС!K135+ЛП!K135</f>
        <v>767479065.32000005</v>
      </c>
      <c r="L136" s="302">
        <f>ВС!L135+ЛП!L135</f>
        <v>48703480.119999997</v>
      </c>
      <c r="M136" s="302">
        <f>ВС!M135+ЛП!M135</f>
        <v>718775585.20000005</v>
      </c>
      <c r="N136" s="302">
        <f>ВС!N135+ЛП!N135</f>
        <v>345384839.58999997</v>
      </c>
    </row>
    <row r="137" spans="1:14" ht="19.5" thickBot="1" x14ac:dyDescent="0.35">
      <c r="A137" s="285">
        <v>47088</v>
      </c>
      <c r="B137" s="286">
        <f>ВС!B136+ЛП!B136</f>
        <v>767479065.32000005</v>
      </c>
      <c r="C137" s="286">
        <f>ВС!C136+ЛП!C136</f>
        <v>48703480.119999997</v>
      </c>
      <c r="D137" s="286">
        <f>ВС!D136+ЛП!D136</f>
        <v>718775585.20000005</v>
      </c>
      <c r="E137" s="286">
        <f>ВС!E136+ЛП!E136</f>
        <v>5633474.54</v>
      </c>
      <c r="F137" s="304">
        <f t="shared" si="51"/>
        <v>20</v>
      </c>
      <c r="G137" s="288">
        <f>ВС!G136+ЛП!G136</f>
        <v>1126694.9099999999</v>
      </c>
      <c r="H137" s="289">
        <f>ВС!H136+ЛП!H136</f>
        <v>6760169.4500000002</v>
      </c>
      <c r="I137" s="289">
        <f>ВС!I136+ЛП!I136</f>
        <v>0</v>
      </c>
      <c r="J137" s="290" t="str">
        <f t="shared" si="50"/>
        <v>-</v>
      </c>
      <c r="K137" s="289">
        <f>ВС!K136+ЛП!K136</f>
        <v>767479065.32000005</v>
      </c>
      <c r="L137" s="289">
        <f>ВС!L136+ЛП!L136</f>
        <v>48703480.119999997</v>
      </c>
      <c r="M137" s="289">
        <f>ВС!M136+ЛП!M136</f>
        <v>718775585.20000005</v>
      </c>
      <c r="N137" s="289">
        <f>ВС!N136+ЛП!N136</f>
        <v>345384839.58999997</v>
      </c>
    </row>
    <row r="138" spans="1:14" s="306" customFormat="1" ht="19.5" thickBot="1" x14ac:dyDescent="0.35">
      <c r="A138" s="291">
        <f>A125+1</f>
        <v>2028</v>
      </c>
      <c r="B138" s="292">
        <f t="shared" ref="B138:D138" si="52">B126</f>
        <v>812991867.48000002</v>
      </c>
      <c r="C138" s="292">
        <f t="shared" si="52"/>
        <v>45512802.159999996</v>
      </c>
      <c r="D138" s="292">
        <f t="shared" si="52"/>
        <v>767479065.32000005</v>
      </c>
      <c r="E138" s="292">
        <f t="shared" ref="E138" si="53">SUM(E126:E137)</f>
        <v>67601694.920000002</v>
      </c>
      <c r="F138" s="305">
        <f t="shared" si="51"/>
        <v>20</v>
      </c>
      <c r="G138" s="294">
        <f t="shared" ref="G138:I138" si="54">SUM(G126:G137)</f>
        <v>13520339.029999999</v>
      </c>
      <c r="H138" s="295">
        <f t="shared" si="54"/>
        <v>81122033.950000003</v>
      </c>
      <c r="I138" s="295">
        <f t="shared" si="54"/>
        <v>80341525.480000004</v>
      </c>
      <c r="J138" s="296"/>
      <c r="K138" s="295">
        <f t="shared" ref="K138:N138" si="55">K137</f>
        <v>767479065.32000005</v>
      </c>
      <c r="L138" s="295">
        <f t="shared" si="55"/>
        <v>48703480.119999997</v>
      </c>
      <c r="M138" s="295">
        <f t="shared" si="55"/>
        <v>718775585.20000005</v>
      </c>
      <c r="N138" s="295">
        <f t="shared" si="55"/>
        <v>345384839.58999997</v>
      </c>
    </row>
    <row r="139" spans="1:14" x14ac:dyDescent="0.3">
      <c r="A139" s="279">
        <v>47119</v>
      </c>
      <c r="B139" s="280">
        <f>ВС!B138+ЛП!B138</f>
        <v>767479065.32000005</v>
      </c>
      <c r="C139" s="280">
        <f>ВС!C138+ЛП!C138</f>
        <v>48703480.119999997</v>
      </c>
      <c r="D139" s="280">
        <f>ВС!D138+ЛП!D138</f>
        <v>718775585.20000005</v>
      </c>
      <c r="E139" s="280">
        <f>ВС!E138+ЛП!E138</f>
        <v>5856638.4199999999</v>
      </c>
      <c r="F139" s="297">
        <f t="shared" si="51"/>
        <v>20</v>
      </c>
      <c r="G139" s="282">
        <f>ВС!G138+ЛП!G138</f>
        <v>1171327.69</v>
      </c>
      <c r="H139" s="283">
        <f>ВС!H138+ЛП!H138</f>
        <v>7027966.1100000003</v>
      </c>
      <c r="I139" s="283">
        <f>ВС!I138+ЛП!I138</f>
        <v>20280508.449999999</v>
      </c>
      <c r="J139" s="284">
        <f t="shared" ref="J139:J150" si="56">IF(I139=0,"-",A139+19)</f>
        <v>47138</v>
      </c>
      <c r="K139" s="283">
        <f>ВС!K138+ЛП!K138</f>
        <v>755905737.70000005</v>
      </c>
      <c r="L139" s="283">
        <f>ВС!L138+ЛП!L138</f>
        <v>49506869.969999999</v>
      </c>
      <c r="M139" s="283">
        <f>ВС!M138+ЛП!M138</f>
        <v>706398867.73000002</v>
      </c>
      <c r="N139" s="283">
        <f>ВС!N138+ЛП!N138</f>
        <v>354092020.42000002</v>
      </c>
    </row>
    <row r="140" spans="1:14" x14ac:dyDescent="0.3">
      <c r="A140" s="298">
        <v>47150</v>
      </c>
      <c r="B140" s="299">
        <f>ВС!B139+ЛП!B139</f>
        <v>755905737.70000005</v>
      </c>
      <c r="C140" s="299">
        <f>ВС!C139+ЛП!C139</f>
        <v>49506869.969999999</v>
      </c>
      <c r="D140" s="299">
        <f>ВС!D139+ЛП!D139</f>
        <v>706398867.73000002</v>
      </c>
      <c r="E140" s="299">
        <f>ВС!E139+ЛП!E139</f>
        <v>5856638.4199999999</v>
      </c>
      <c r="F140" s="300">
        <f t="shared" si="51"/>
        <v>20</v>
      </c>
      <c r="G140" s="301">
        <f>ВС!G139+ЛП!G139</f>
        <v>1171327.69</v>
      </c>
      <c r="H140" s="302">
        <f>ВС!H139+ЛП!H139</f>
        <v>7027966.1100000003</v>
      </c>
      <c r="I140" s="302">
        <f>ВС!I139+ЛП!I139</f>
        <v>0</v>
      </c>
      <c r="J140" s="303" t="str">
        <f t="shared" si="56"/>
        <v>-</v>
      </c>
      <c r="K140" s="302">
        <f>ВС!K139+ЛП!K139</f>
        <v>755905737.70000005</v>
      </c>
      <c r="L140" s="302">
        <f>ВС!L139+ЛП!L139</f>
        <v>49506869.969999999</v>
      </c>
      <c r="M140" s="302">
        <f>ВС!M139+ЛП!M139</f>
        <v>706398867.73000002</v>
      </c>
      <c r="N140" s="302">
        <f>ВС!N139+ЛП!N139</f>
        <v>354092020.42000002</v>
      </c>
    </row>
    <row r="141" spans="1:14" x14ac:dyDescent="0.3">
      <c r="A141" s="298">
        <v>47178</v>
      </c>
      <c r="B141" s="299">
        <f>ВС!B140+ЛП!B140</f>
        <v>755905737.70000005</v>
      </c>
      <c r="C141" s="299">
        <f>ВС!C140+ЛП!C140</f>
        <v>49506869.969999999</v>
      </c>
      <c r="D141" s="299">
        <f>ВС!D140+ЛП!D140</f>
        <v>706398867.73000002</v>
      </c>
      <c r="E141" s="299">
        <f>ВС!E140+ЛП!E140</f>
        <v>5856638.4199999999</v>
      </c>
      <c r="F141" s="300">
        <f t="shared" si="51"/>
        <v>20</v>
      </c>
      <c r="G141" s="301">
        <f>ВС!G140+ЛП!G140</f>
        <v>1171327.69</v>
      </c>
      <c r="H141" s="302">
        <f>ВС!H140+ЛП!H140</f>
        <v>7027966.1100000003</v>
      </c>
      <c r="I141" s="302">
        <f>ВС!I140+ЛП!I140</f>
        <v>0</v>
      </c>
      <c r="J141" s="303" t="str">
        <f t="shared" si="56"/>
        <v>-</v>
      </c>
      <c r="K141" s="302">
        <f>ВС!K140+ЛП!K140</f>
        <v>755905737.70000005</v>
      </c>
      <c r="L141" s="302">
        <f>ВС!L140+ЛП!L140</f>
        <v>49506869.969999999</v>
      </c>
      <c r="M141" s="302">
        <f>ВС!M140+ЛП!M140</f>
        <v>706398867.73000002</v>
      </c>
      <c r="N141" s="302">
        <f>ВС!N140+ЛП!N140</f>
        <v>354092020.42000002</v>
      </c>
    </row>
    <row r="142" spans="1:14" x14ac:dyDescent="0.3">
      <c r="A142" s="298">
        <v>47209</v>
      </c>
      <c r="B142" s="299">
        <f>ВС!B141+ЛП!B141</f>
        <v>755905737.70000005</v>
      </c>
      <c r="C142" s="299">
        <f>ВС!C141+ЛП!C141</f>
        <v>49506869.969999999</v>
      </c>
      <c r="D142" s="299">
        <f>ВС!D141+ЛП!D141</f>
        <v>706398867.73000002</v>
      </c>
      <c r="E142" s="299">
        <f>ВС!E141+ЛП!E141</f>
        <v>5856638.4199999999</v>
      </c>
      <c r="F142" s="300">
        <f t="shared" si="51"/>
        <v>20</v>
      </c>
      <c r="G142" s="301">
        <f>ВС!G141+ЛП!G141</f>
        <v>1171327.69</v>
      </c>
      <c r="H142" s="302">
        <f>ВС!H141+ЛП!H141</f>
        <v>7027966.1100000003</v>
      </c>
      <c r="I142" s="302">
        <f>ВС!I141+ЛП!I141</f>
        <v>21083898.329999998</v>
      </c>
      <c r="J142" s="303">
        <f t="shared" si="56"/>
        <v>47228</v>
      </c>
      <c r="K142" s="302">
        <f>ВС!K141+ЛП!K141</f>
        <v>743529020.20000005</v>
      </c>
      <c r="L142" s="302">
        <f>ВС!L141+ЛП!L141</f>
        <v>50333141.130000003</v>
      </c>
      <c r="M142" s="302">
        <f>ВС!M141+ЛП!M141</f>
        <v>693195879.07000005</v>
      </c>
      <c r="N142" s="302">
        <f>ВС!N141+ЛП!N141</f>
        <v>362799201.25</v>
      </c>
    </row>
    <row r="143" spans="1:14" x14ac:dyDescent="0.3">
      <c r="A143" s="298">
        <v>47239</v>
      </c>
      <c r="B143" s="299">
        <f>ВС!B142+ЛП!B142</f>
        <v>743529020.20000005</v>
      </c>
      <c r="C143" s="299">
        <f>ВС!C142+ЛП!C142</f>
        <v>50333141.130000003</v>
      </c>
      <c r="D143" s="299">
        <f>ВС!D142+ЛП!D142</f>
        <v>693195879.07000005</v>
      </c>
      <c r="E143" s="299">
        <f>ВС!E142+ЛП!E142</f>
        <v>5856638.4199999999</v>
      </c>
      <c r="F143" s="300">
        <f t="shared" si="51"/>
        <v>20</v>
      </c>
      <c r="G143" s="301">
        <f>ВС!G142+ЛП!G142</f>
        <v>1171327.69</v>
      </c>
      <c r="H143" s="302">
        <f>ВС!H142+ЛП!H142</f>
        <v>7027966.1100000003</v>
      </c>
      <c r="I143" s="302">
        <f>ВС!I142+ЛП!I142</f>
        <v>0</v>
      </c>
      <c r="J143" s="303" t="str">
        <f t="shared" si="56"/>
        <v>-</v>
      </c>
      <c r="K143" s="302">
        <f>ВС!K142+ЛП!K142</f>
        <v>743529020.20000005</v>
      </c>
      <c r="L143" s="302">
        <f>ВС!L142+ЛП!L142</f>
        <v>50333141.130000003</v>
      </c>
      <c r="M143" s="302">
        <f>ВС!M142+ЛП!M142</f>
        <v>693195879.07000005</v>
      </c>
      <c r="N143" s="302">
        <f>ВС!N142+ЛП!N142</f>
        <v>362799201.25</v>
      </c>
    </row>
    <row r="144" spans="1:14" x14ac:dyDescent="0.3">
      <c r="A144" s="298">
        <v>47270</v>
      </c>
      <c r="B144" s="299">
        <f>ВС!B143+ЛП!B143</f>
        <v>743529020.20000005</v>
      </c>
      <c r="C144" s="299">
        <f>ВС!C143+ЛП!C143</f>
        <v>50333141.130000003</v>
      </c>
      <c r="D144" s="299">
        <f>ВС!D143+ЛП!D143</f>
        <v>693195879.07000005</v>
      </c>
      <c r="E144" s="299">
        <f>ВС!E143+ЛП!E143</f>
        <v>5856638.4199999999</v>
      </c>
      <c r="F144" s="300">
        <f t="shared" si="51"/>
        <v>20</v>
      </c>
      <c r="G144" s="301">
        <f>ВС!G143+ЛП!G143</f>
        <v>1171327.69</v>
      </c>
      <c r="H144" s="302">
        <f>ВС!H143+ЛП!H143</f>
        <v>7027966.1100000003</v>
      </c>
      <c r="I144" s="302">
        <f>ВС!I143+ЛП!I143</f>
        <v>0</v>
      </c>
      <c r="J144" s="303" t="str">
        <f t="shared" si="56"/>
        <v>-</v>
      </c>
      <c r="K144" s="302">
        <f>ВС!K143+ЛП!K143</f>
        <v>743529020.20000005</v>
      </c>
      <c r="L144" s="302">
        <f>ВС!L143+ЛП!L143</f>
        <v>50333141.130000003</v>
      </c>
      <c r="M144" s="302">
        <f>ВС!M143+ЛП!M143</f>
        <v>693195879.07000005</v>
      </c>
      <c r="N144" s="302">
        <f>ВС!N143+ЛП!N143</f>
        <v>362799201.25</v>
      </c>
    </row>
    <row r="145" spans="1:14" x14ac:dyDescent="0.3">
      <c r="A145" s="298">
        <v>47300</v>
      </c>
      <c r="B145" s="299">
        <f>ВС!B144+ЛП!B144</f>
        <v>743529020.20000005</v>
      </c>
      <c r="C145" s="299">
        <f>ВС!C144+ЛП!C144</f>
        <v>50333141.130000003</v>
      </c>
      <c r="D145" s="299">
        <f>ВС!D144+ЛП!D144</f>
        <v>693195879.07000005</v>
      </c>
      <c r="E145" s="299">
        <f>ВС!E144+ЛП!E144</f>
        <v>5856638.4199999999</v>
      </c>
      <c r="F145" s="300">
        <f t="shared" si="51"/>
        <v>20</v>
      </c>
      <c r="G145" s="301">
        <f>ВС!G144+ЛП!G144</f>
        <v>1171327.69</v>
      </c>
      <c r="H145" s="302">
        <f>ВС!H144+ЛП!H144</f>
        <v>7027966.1100000003</v>
      </c>
      <c r="I145" s="302">
        <f>ВС!I144+ЛП!I144</f>
        <v>21083898.329999998</v>
      </c>
      <c r="J145" s="303">
        <f t="shared" si="56"/>
        <v>47319</v>
      </c>
      <c r="K145" s="302">
        <f>ВС!K144+ЛП!K144</f>
        <v>731152302.70000005</v>
      </c>
      <c r="L145" s="302">
        <f>ВС!L144+ЛП!L144</f>
        <v>51159412.289999999</v>
      </c>
      <c r="M145" s="302">
        <f>ВС!M144+ЛП!M144</f>
        <v>679992890.40999997</v>
      </c>
      <c r="N145" s="302">
        <f>ВС!N144+ЛП!N144</f>
        <v>371506382.07999998</v>
      </c>
    </row>
    <row r="146" spans="1:14" x14ac:dyDescent="0.3">
      <c r="A146" s="298">
        <v>47331</v>
      </c>
      <c r="B146" s="299">
        <f>ВС!B145+ЛП!B145</f>
        <v>731152302.70000005</v>
      </c>
      <c r="C146" s="299">
        <f>ВС!C145+ЛП!C145</f>
        <v>51159412.289999999</v>
      </c>
      <c r="D146" s="299">
        <f>ВС!D145+ЛП!D145</f>
        <v>679992890.40999997</v>
      </c>
      <c r="E146" s="299">
        <f>ВС!E145+ЛП!E145</f>
        <v>5856638.4199999999</v>
      </c>
      <c r="F146" s="300">
        <f t="shared" si="51"/>
        <v>20</v>
      </c>
      <c r="G146" s="301">
        <f>ВС!G145+ЛП!G145</f>
        <v>1171327.69</v>
      </c>
      <c r="H146" s="302">
        <f>ВС!H145+ЛП!H145</f>
        <v>7027966.1100000003</v>
      </c>
      <c r="I146" s="302">
        <f>ВС!I145+ЛП!I145</f>
        <v>0</v>
      </c>
      <c r="J146" s="303" t="str">
        <f t="shared" si="56"/>
        <v>-</v>
      </c>
      <c r="K146" s="302">
        <f>ВС!K145+ЛП!K145</f>
        <v>731152302.70000005</v>
      </c>
      <c r="L146" s="302">
        <f>ВС!L145+ЛП!L145</f>
        <v>51159412.289999999</v>
      </c>
      <c r="M146" s="302">
        <f>ВС!M145+ЛП!M145</f>
        <v>679992890.40999997</v>
      </c>
      <c r="N146" s="302">
        <f>ВС!N145+ЛП!N145</f>
        <v>371506382.07999998</v>
      </c>
    </row>
    <row r="147" spans="1:14" x14ac:dyDescent="0.3">
      <c r="A147" s="298">
        <v>47362</v>
      </c>
      <c r="B147" s="299">
        <f>ВС!B146+ЛП!B146</f>
        <v>731152302.70000005</v>
      </c>
      <c r="C147" s="299">
        <f>ВС!C146+ЛП!C146</f>
        <v>51159412.289999999</v>
      </c>
      <c r="D147" s="299">
        <f>ВС!D146+ЛП!D146</f>
        <v>679992890.40999997</v>
      </c>
      <c r="E147" s="299">
        <f>ВС!E146+ЛП!E146</f>
        <v>5856638.4199999999</v>
      </c>
      <c r="F147" s="300">
        <f t="shared" si="51"/>
        <v>20</v>
      </c>
      <c r="G147" s="301">
        <f>ВС!G146+ЛП!G146</f>
        <v>1171327.69</v>
      </c>
      <c r="H147" s="302">
        <f>ВС!H146+ЛП!H146</f>
        <v>7027966.1100000003</v>
      </c>
      <c r="I147" s="302">
        <f>ВС!I146+ЛП!I146</f>
        <v>0</v>
      </c>
      <c r="J147" s="303" t="str">
        <f t="shared" si="56"/>
        <v>-</v>
      </c>
      <c r="K147" s="302">
        <f>ВС!K146+ЛП!K146</f>
        <v>731152302.70000005</v>
      </c>
      <c r="L147" s="302">
        <f>ВС!L146+ЛП!L146</f>
        <v>51159412.289999999</v>
      </c>
      <c r="M147" s="302">
        <f>ВС!M146+ЛП!M146</f>
        <v>679992890.40999997</v>
      </c>
      <c r="N147" s="302">
        <f>ВС!N146+ЛП!N146</f>
        <v>371506382.07999998</v>
      </c>
    </row>
    <row r="148" spans="1:14" x14ac:dyDescent="0.3">
      <c r="A148" s="298">
        <v>47392</v>
      </c>
      <c r="B148" s="299">
        <f>ВС!B147+ЛП!B147</f>
        <v>731152302.70000005</v>
      </c>
      <c r="C148" s="299">
        <f>ВС!C147+ЛП!C147</f>
        <v>51159412.289999999</v>
      </c>
      <c r="D148" s="299">
        <f>ВС!D147+ЛП!D147</f>
        <v>679992890.40999997</v>
      </c>
      <c r="E148" s="299">
        <f>ВС!E147+ЛП!E147</f>
        <v>5856638.4199999999</v>
      </c>
      <c r="F148" s="300">
        <f t="shared" si="51"/>
        <v>20</v>
      </c>
      <c r="G148" s="301">
        <f>ВС!G147+ЛП!G147</f>
        <v>1171327.69</v>
      </c>
      <c r="H148" s="302">
        <f>ВС!H147+ЛП!H147</f>
        <v>7027966.1100000003</v>
      </c>
      <c r="I148" s="302">
        <f>ВС!I147+ЛП!I147</f>
        <v>21083898.329999998</v>
      </c>
      <c r="J148" s="303">
        <f t="shared" si="56"/>
        <v>47411</v>
      </c>
      <c r="K148" s="302">
        <f>ВС!K147+ЛП!K147</f>
        <v>718775585.20000005</v>
      </c>
      <c r="L148" s="302">
        <f>ВС!L147+ЛП!L147</f>
        <v>51985683.450000003</v>
      </c>
      <c r="M148" s="302">
        <f>ВС!M147+ЛП!M147</f>
        <v>666789901.75</v>
      </c>
      <c r="N148" s="302">
        <f>ВС!N147+ЛП!N147</f>
        <v>380213562.91000003</v>
      </c>
    </row>
    <row r="149" spans="1:14" x14ac:dyDescent="0.3">
      <c r="A149" s="298">
        <v>47423</v>
      </c>
      <c r="B149" s="299">
        <f>ВС!B148+ЛП!B148</f>
        <v>718775585.20000005</v>
      </c>
      <c r="C149" s="299">
        <f>ВС!C148+ЛП!C148</f>
        <v>51985683.450000003</v>
      </c>
      <c r="D149" s="299">
        <f>ВС!D148+ЛП!D148</f>
        <v>666789901.75</v>
      </c>
      <c r="E149" s="299">
        <f>ВС!E148+ЛП!E148</f>
        <v>5856638.4199999999</v>
      </c>
      <c r="F149" s="300">
        <f t="shared" si="51"/>
        <v>20</v>
      </c>
      <c r="G149" s="301">
        <f>ВС!G148+ЛП!G148</f>
        <v>1171327.69</v>
      </c>
      <c r="H149" s="302">
        <f>ВС!H148+ЛП!H148</f>
        <v>7027966.1100000003</v>
      </c>
      <c r="I149" s="302">
        <f>ВС!I148+ЛП!I148</f>
        <v>0</v>
      </c>
      <c r="J149" s="303" t="str">
        <f t="shared" si="56"/>
        <v>-</v>
      </c>
      <c r="K149" s="302">
        <f>ВС!K148+ЛП!K148</f>
        <v>718775585.20000005</v>
      </c>
      <c r="L149" s="302">
        <f>ВС!L148+ЛП!L148</f>
        <v>51985683.450000003</v>
      </c>
      <c r="M149" s="302">
        <f>ВС!M148+ЛП!M148</f>
        <v>666789901.75</v>
      </c>
      <c r="N149" s="302">
        <f>ВС!N148+ЛП!N148</f>
        <v>380213562.91000003</v>
      </c>
    </row>
    <row r="150" spans="1:14" ht="19.5" thickBot="1" x14ac:dyDescent="0.35">
      <c r="A150" s="285">
        <v>47453</v>
      </c>
      <c r="B150" s="286">
        <f>ВС!B149+ЛП!B149</f>
        <v>718775585.20000005</v>
      </c>
      <c r="C150" s="286">
        <f>ВС!C149+ЛП!C149</f>
        <v>51985683.450000003</v>
      </c>
      <c r="D150" s="286">
        <f>ВС!D149+ЛП!D149</f>
        <v>666789901.75</v>
      </c>
      <c r="E150" s="286">
        <f>ВС!E149+ЛП!E149</f>
        <v>5856638.4000000004</v>
      </c>
      <c r="F150" s="304">
        <f t="shared" si="51"/>
        <v>20</v>
      </c>
      <c r="G150" s="288">
        <f>ВС!G149+ЛП!G149</f>
        <v>1171327.68</v>
      </c>
      <c r="H150" s="289">
        <f>ВС!H149+ЛП!H149</f>
        <v>7027966.0800000001</v>
      </c>
      <c r="I150" s="289">
        <f>ВС!I149+ЛП!I149</f>
        <v>0</v>
      </c>
      <c r="J150" s="290" t="str">
        <f t="shared" si="56"/>
        <v>-</v>
      </c>
      <c r="K150" s="289">
        <f>ВС!K149+ЛП!K149</f>
        <v>718775585.20000005</v>
      </c>
      <c r="L150" s="289">
        <f>ВС!L149+ЛП!L149</f>
        <v>51985683.450000003</v>
      </c>
      <c r="M150" s="289">
        <f>ВС!M149+ЛП!M149</f>
        <v>666789901.75</v>
      </c>
      <c r="N150" s="289">
        <f>ВС!N149+ЛП!N149</f>
        <v>380213562.91000003</v>
      </c>
    </row>
    <row r="151" spans="1:14" s="306" customFormat="1" ht="19.5" thickBot="1" x14ac:dyDescent="0.35">
      <c r="A151" s="291">
        <f>A138+1</f>
        <v>2029</v>
      </c>
      <c r="B151" s="292">
        <f t="shared" ref="B151:D151" si="57">B139</f>
        <v>767479065.32000005</v>
      </c>
      <c r="C151" s="292">
        <f t="shared" si="57"/>
        <v>48703480.119999997</v>
      </c>
      <c r="D151" s="292">
        <f t="shared" si="57"/>
        <v>718775585.20000005</v>
      </c>
      <c r="E151" s="292">
        <f t="shared" ref="E151" si="58">SUM(E139:E150)</f>
        <v>70279661.019999996</v>
      </c>
      <c r="F151" s="305">
        <f t="shared" si="51"/>
        <v>20</v>
      </c>
      <c r="G151" s="294">
        <f t="shared" ref="G151:I151" si="59">SUM(G139:G150)</f>
        <v>14055932.27</v>
      </c>
      <c r="H151" s="295">
        <f t="shared" si="59"/>
        <v>84335593.290000007</v>
      </c>
      <c r="I151" s="295">
        <f t="shared" si="59"/>
        <v>83532203.439999998</v>
      </c>
      <c r="J151" s="296"/>
      <c r="K151" s="295">
        <f t="shared" ref="K151:N151" si="60">K150</f>
        <v>718775585.20000005</v>
      </c>
      <c r="L151" s="295">
        <f t="shared" si="60"/>
        <v>51985683.450000003</v>
      </c>
      <c r="M151" s="295">
        <f t="shared" si="60"/>
        <v>666789901.75</v>
      </c>
      <c r="N151" s="295">
        <f t="shared" si="60"/>
        <v>380213562.91000003</v>
      </c>
    </row>
    <row r="152" spans="1:14" x14ac:dyDescent="0.3">
      <c r="A152" s="279">
        <v>10959</v>
      </c>
      <c r="B152" s="280">
        <f>ВС!B151+ЛП!B151</f>
        <v>718775585.20000005</v>
      </c>
      <c r="C152" s="280">
        <f>ВС!C151+ЛП!C151</f>
        <v>51985683.450000003</v>
      </c>
      <c r="D152" s="280">
        <f>ВС!D151+ЛП!D151</f>
        <v>666789901.75</v>
      </c>
      <c r="E152" s="280">
        <f>ВС!E151+ЛП!E151</f>
        <v>6086158.1900000004</v>
      </c>
      <c r="F152" s="297">
        <f t="shared" si="51"/>
        <v>20</v>
      </c>
      <c r="G152" s="282">
        <f>ВС!G151+ЛП!G151</f>
        <v>1217231.6399999999</v>
      </c>
      <c r="H152" s="283">
        <f>ВС!H151+ЛП!H151</f>
        <v>7303389.8300000001</v>
      </c>
      <c r="I152" s="283">
        <f>ВС!I151+ЛП!I151</f>
        <v>21083898.300000001</v>
      </c>
      <c r="J152" s="284">
        <f t="shared" ref="J152:J163" si="61">IF(I152=0,"-",A152+19)</f>
        <v>10978</v>
      </c>
      <c r="K152" s="283">
        <f>ВС!K151+ЛП!K151</f>
        <v>706398867.73000002</v>
      </c>
      <c r="L152" s="283">
        <f>ВС!L151+ЛП!L151</f>
        <v>52811954.68</v>
      </c>
      <c r="M152" s="283">
        <f>ВС!M151+ЛП!M151</f>
        <v>653586913.04999995</v>
      </c>
      <c r="N152" s="283">
        <f>ВС!N151+ЛП!N151</f>
        <v>388920743.74000001</v>
      </c>
    </row>
    <row r="153" spans="1:14" x14ac:dyDescent="0.3">
      <c r="A153" s="298">
        <v>10990</v>
      </c>
      <c r="B153" s="299">
        <f>ВС!B152+ЛП!B152</f>
        <v>706398867.73000002</v>
      </c>
      <c r="C153" s="299">
        <f>ВС!C152+ЛП!C152</f>
        <v>52811954.68</v>
      </c>
      <c r="D153" s="299">
        <f>ВС!D152+ЛП!D152</f>
        <v>653586913.04999995</v>
      </c>
      <c r="E153" s="299">
        <f>ВС!E152+ЛП!E152</f>
        <v>6086158.1900000004</v>
      </c>
      <c r="F153" s="300">
        <f t="shared" si="51"/>
        <v>20</v>
      </c>
      <c r="G153" s="301">
        <f>ВС!G152+ЛП!G152</f>
        <v>1217231.6399999999</v>
      </c>
      <c r="H153" s="302">
        <f>ВС!H152+ЛП!H152</f>
        <v>7303389.8300000001</v>
      </c>
      <c r="I153" s="302">
        <f>ВС!I152+ЛП!I152</f>
        <v>0</v>
      </c>
      <c r="J153" s="303" t="str">
        <f t="shared" si="61"/>
        <v>-</v>
      </c>
      <c r="K153" s="302">
        <f>ВС!K152+ЛП!K152</f>
        <v>706398867.73000002</v>
      </c>
      <c r="L153" s="302">
        <f>ВС!L152+ЛП!L152</f>
        <v>52811954.68</v>
      </c>
      <c r="M153" s="302">
        <f>ВС!M152+ЛП!M152</f>
        <v>653586913.04999995</v>
      </c>
      <c r="N153" s="302">
        <f>ВС!N152+ЛП!N152</f>
        <v>388920743.74000001</v>
      </c>
    </row>
    <row r="154" spans="1:14" x14ac:dyDescent="0.3">
      <c r="A154" s="298">
        <v>11018</v>
      </c>
      <c r="B154" s="299">
        <f>ВС!B153+ЛП!B153</f>
        <v>706398867.73000002</v>
      </c>
      <c r="C154" s="299">
        <f>ВС!C153+ЛП!C153</f>
        <v>52811954.68</v>
      </c>
      <c r="D154" s="299">
        <f>ВС!D153+ЛП!D153</f>
        <v>653586913.04999995</v>
      </c>
      <c r="E154" s="299">
        <f>ВС!E153+ЛП!E153</f>
        <v>6086158.1900000004</v>
      </c>
      <c r="F154" s="300">
        <f t="shared" si="51"/>
        <v>20</v>
      </c>
      <c r="G154" s="301">
        <f>ВС!G153+ЛП!G153</f>
        <v>1217231.6399999999</v>
      </c>
      <c r="H154" s="302">
        <f>ВС!H153+ЛП!H153</f>
        <v>7303389.8300000001</v>
      </c>
      <c r="I154" s="302">
        <f>ВС!I153+ЛП!I153</f>
        <v>0</v>
      </c>
      <c r="J154" s="303" t="str">
        <f t="shared" si="61"/>
        <v>-</v>
      </c>
      <c r="K154" s="302">
        <f>ВС!K153+ЛП!K153</f>
        <v>706398867.73000002</v>
      </c>
      <c r="L154" s="302">
        <f>ВС!L153+ЛП!L153</f>
        <v>52811954.68</v>
      </c>
      <c r="M154" s="302">
        <f>ВС!M153+ЛП!M153</f>
        <v>653586913.04999995</v>
      </c>
      <c r="N154" s="302">
        <f>ВС!N153+ЛП!N153</f>
        <v>388920743.74000001</v>
      </c>
    </row>
    <row r="155" spans="1:14" x14ac:dyDescent="0.3">
      <c r="A155" s="298">
        <v>11049</v>
      </c>
      <c r="B155" s="299">
        <f>ВС!B154+ЛП!B154</f>
        <v>706398867.73000002</v>
      </c>
      <c r="C155" s="299">
        <f>ВС!C154+ЛП!C154</f>
        <v>52811954.68</v>
      </c>
      <c r="D155" s="299">
        <f>ВС!D154+ЛП!D154</f>
        <v>653586913.04999995</v>
      </c>
      <c r="E155" s="299">
        <f>ВС!E154+ЛП!E154</f>
        <v>6086158.1900000004</v>
      </c>
      <c r="F155" s="300">
        <f t="shared" si="51"/>
        <v>20</v>
      </c>
      <c r="G155" s="301">
        <f>ВС!G154+ЛП!G154</f>
        <v>1217231.6399999999</v>
      </c>
      <c r="H155" s="302">
        <f>ВС!H154+ЛП!H154</f>
        <v>7303389.8300000001</v>
      </c>
      <c r="I155" s="302">
        <f>ВС!I154+ЛП!I154</f>
        <v>21910169.489999998</v>
      </c>
      <c r="J155" s="303">
        <f t="shared" si="61"/>
        <v>11068</v>
      </c>
      <c r="K155" s="302">
        <f>ВС!K154+ЛП!K154</f>
        <v>693195879.07000005</v>
      </c>
      <c r="L155" s="302">
        <f>ВС!L154+ЛП!L154</f>
        <v>53658564.850000001</v>
      </c>
      <c r="M155" s="302">
        <f>ВС!M154+ЛП!M154</f>
        <v>639537314.22000003</v>
      </c>
      <c r="N155" s="302">
        <f>ВС!N154+ЛП!N154</f>
        <v>397627924.56999999</v>
      </c>
    </row>
    <row r="156" spans="1:14" x14ac:dyDescent="0.3">
      <c r="A156" s="298">
        <v>11079</v>
      </c>
      <c r="B156" s="299">
        <f>ВС!B155+ЛП!B155</f>
        <v>693195879.07000005</v>
      </c>
      <c r="C156" s="299">
        <f>ВС!C155+ЛП!C155</f>
        <v>53658564.850000001</v>
      </c>
      <c r="D156" s="299">
        <f>ВС!D155+ЛП!D155</f>
        <v>639537314.22000003</v>
      </c>
      <c r="E156" s="299">
        <f>ВС!E155+ЛП!E155</f>
        <v>6086158.1900000004</v>
      </c>
      <c r="F156" s="300">
        <f t="shared" si="51"/>
        <v>20</v>
      </c>
      <c r="G156" s="301">
        <f>ВС!G155+ЛП!G155</f>
        <v>1217231.6399999999</v>
      </c>
      <c r="H156" s="302">
        <f>ВС!H155+ЛП!H155</f>
        <v>7303389.8300000001</v>
      </c>
      <c r="I156" s="302">
        <f>ВС!I155+ЛП!I155</f>
        <v>0</v>
      </c>
      <c r="J156" s="303" t="str">
        <f t="shared" si="61"/>
        <v>-</v>
      </c>
      <c r="K156" s="302">
        <f>ВС!K155+ЛП!K155</f>
        <v>693195879.07000005</v>
      </c>
      <c r="L156" s="302">
        <f>ВС!L155+ЛП!L155</f>
        <v>53658564.850000001</v>
      </c>
      <c r="M156" s="302">
        <f>ВС!M155+ЛП!M155</f>
        <v>639537314.22000003</v>
      </c>
      <c r="N156" s="302">
        <f>ВС!N155+ЛП!N155</f>
        <v>397627924.56999999</v>
      </c>
    </row>
    <row r="157" spans="1:14" x14ac:dyDescent="0.3">
      <c r="A157" s="298">
        <v>11110</v>
      </c>
      <c r="B157" s="299">
        <f>ВС!B156+ЛП!B156</f>
        <v>693195879.07000005</v>
      </c>
      <c r="C157" s="299">
        <f>ВС!C156+ЛП!C156</f>
        <v>53658564.850000001</v>
      </c>
      <c r="D157" s="299">
        <f>ВС!D156+ЛП!D156</f>
        <v>639537314.22000003</v>
      </c>
      <c r="E157" s="299">
        <f>ВС!E156+ЛП!E156</f>
        <v>6086158.1900000004</v>
      </c>
      <c r="F157" s="300">
        <f t="shared" si="51"/>
        <v>20</v>
      </c>
      <c r="G157" s="301">
        <f>ВС!G156+ЛП!G156</f>
        <v>1217231.6399999999</v>
      </c>
      <c r="H157" s="302">
        <f>ВС!H156+ЛП!H156</f>
        <v>7303389.8300000001</v>
      </c>
      <c r="I157" s="302">
        <f>ВС!I156+ЛП!I156</f>
        <v>0</v>
      </c>
      <c r="J157" s="303" t="str">
        <f t="shared" si="61"/>
        <v>-</v>
      </c>
      <c r="K157" s="302">
        <f>ВС!K156+ЛП!K156</f>
        <v>693195879.07000005</v>
      </c>
      <c r="L157" s="302">
        <f>ВС!L156+ЛП!L156</f>
        <v>53658564.850000001</v>
      </c>
      <c r="M157" s="302">
        <f>ВС!M156+ЛП!M156</f>
        <v>639537314.22000003</v>
      </c>
      <c r="N157" s="302">
        <f>ВС!N156+ЛП!N156</f>
        <v>397627924.56999999</v>
      </c>
    </row>
    <row r="158" spans="1:14" x14ac:dyDescent="0.3">
      <c r="A158" s="298">
        <v>11140</v>
      </c>
      <c r="B158" s="299">
        <f>ВС!B157+ЛП!B157</f>
        <v>693195879.07000005</v>
      </c>
      <c r="C158" s="299">
        <f>ВС!C157+ЛП!C157</f>
        <v>53658564.850000001</v>
      </c>
      <c r="D158" s="299">
        <f>ВС!D157+ЛП!D157</f>
        <v>639537314.22000003</v>
      </c>
      <c r="E158" s="299">
        <f>ВС!E157+ЛП!E157</f>
        <v>6086158.1900000004</v>
      </c>
      <c r="F158" s="300">
        <f t="shared" si="51"/>
        <v>20</v>
      </c>
      <c r="G158" s="301">
        <f>ВС!G157+ЛП!G157</f>
        <v>1217231.6399999999</v>
      </c>
      <c r="H158" s="302">
        <f>ВС!H157+ЛП!H157</f>
        <v>7303389.8300000001</v>
      </c>
      <c r="I158" s="302">
        <f>ВС!I157+ЛП!I157</f>
        <v>21910169.489999998</v>
      </c>
      <c r="J158" s="303">
        <f t="shared" si="61"/>
        <v>11159</v>
      </c>
      <c r="K158" s="302">
        <f>ВС!K157+ЛП!K157</f>
        <v>679992890.40999997</v>
      </c>
      <c r="L158" s="302">
        <f>ВС!L157+ЛП!L157</f>
        <v>54505175.020000003</v>
      </c>
      <c r="M158" s="302">
        <f>ВС!M157+ЛП!M157</f>
        <v>625487715.38999999</v>
      </c>
      <c r="N158" s="302">
        <f>ВС!N157+ЛП!N157</f>
        <v>406335105.39999998</v>
      </c>
    </row>
    <row r="159" spans="1:14" x14ac:dyDescent="0.3">
      <c r="A159" s="298">
        <v>11171</v>
      </c>
      <c r="B159" s="299">
        <f>ВС!B158+ЛП!B158</f>
        <v>679992890.40999997</v>
      </c>
      <c r="C159" s="299">
        <f>ВС!C158+ЛП!C158</f>
        <v>54505175.020000003</v>
      </c>
      <c r="D159" s="299">
        <f>ВС!D158+ЛП!D158</f>
        <v>625487715.38999999</v>
      </c>
      <c r="E159" s="299">
        <f>ВС!E158+ЛП!E158</f>
        <v>6086158.1900000004</v>
      </c>
      <c r="F159" s="300">
        <f t="shared" si="51"/>
        <v>20</v>
      </c>
      <c r="G159" s="301">
        <f>ВС!G158+ЛП!G158</f>
        <v>1217231.6399999999</v>
      </c>
      <c r="H159" s="302">
        <f>ВС!H158+ЛП!H158</f>
        <v>7303389.8300000001</v>
      </c>
      <c r="I159" s="302">
        <f>ВС!I158+ЛП!I158</f>
        <v>0</v>
      </c>
      <c r="J159" s="303" t="str">
        <f t="shared" si="61"/>
        <v>-</v>
      </c>
      <c r="K159" s="302">
        <f>ВС!K158+ЛП!K158</f>
        <v>679992890.40999997</v>
      </c>
      <c r="L159" s="302">
        <f>ВС!L158+ЛП!L158</f>
        <v>54505175.020000003</v>
      </c>
      <c r="M159" s="302">
        <f>ВС!M158+ЛП!M158</f>
        <v>625487715.38999999</v>
      </c>
      <c r="N159" s="302">
        <f>ВС!N158+ЛП!N158</f>
        <v>406335105.39999998</v>
      </c>
    </row>
    <row r="160" spans="1:14" x14ac:dyDescent="0.3">
      <c r="A160" s="298">
        <v>11202</v>
      </c>
      <c r="B160" s="299">
        <f>ВС!B159+ЛП!B159</f>
        <v>679992890.40999997</v>
      </c>
      <c r="C160" s="299">
        <f>ВС!C159+ЛП!C159</f>
        <v>54505175.020000003</v>
      </c>
      <c r="D160" s="299">
        <f>ВС!D159+ЛП!D159</f>
        <v>625487715.38999999</v>
      </c>
      <c r="E160" s="299">
        <f>ВС!E159+ЛП!E159</f>
        <v>6086158.1900000004</v>
      </c>
      <c r="F160" s="300">
        <f t="shared" si="51"/>
        <v>20</v>
      </c>
      <c r="G160" s="301">
        <f>ВС!G159+ЛП!G159</f>
        <v>1217231.6399999999</v>
      </c>
      <c r="H160" s="302">
        <f>ВС!H159+ЛП!H159</f>
        <v>7303389.8300000001</v>
      </c>
      <c r="I160" s="302">
        <f>ВС!I159+ЛП!I159</f>
        <v>0</v>
      </c>
      <c r="J160" s="303" t="str">
        <f t="shared" si="61"/>
        <v>-</v>
      </c>
      <c r="K160" s="302">
        <f>ВС!K159+ЛП!K159</f>
        <v>679992890.40999997</v>
      </c>
      <c r="L160" s="302">
        <f>ВС!L159+ЛП!L159</f>
        <v>54505175.020000003</v>
      </c>
      <c r="M160" s="302">
        <f>ВС!M159+ЛП!M159</f>
        <v>625487715.38999999</v>
      </c>
      <c r="N160" s="302">
        <f>ВС!N159+ЛП!N159</f>
        <v>406335105.39999998</v>
      </c>
    </row>
    <row r="161" spans="1:14" x14ac:dyDescent="0.3">
      <c r="A161" s="298">
        <v>11232</v>
      </c>
      <c r="B161" s="299">
        <f>ВС!B160+ЛП!B160</f>
        <v>679992890.40999997</v>
      </c>
      <c r="C161" s="299">
        <f>ВС!C160+ЛП!C160</f>
        <v>54505175.020000003</v>
      </c>
      <c r="D161" s="299">
        <f>ВС!D160+ЛП!D160</f>
        <v>625487715.38999999</v>
      </c>
      <c r="E161" s="299">
        <f>ВС!E160+ЛП!E160</f>
        <v>6086158.1900000004</v>
      </c>
      <c r="F161" s="300">
        <f t="shared" si="51"/>
        <v>20</v>
      </c>
      <c r="G161" s="301">
        <f>ВС!G160+ЛП!G160</f>
        <v>1217231.6399999999</v>
      </c>
      <c r="H161" s="302">
        <f>ВС!H160+ЛП!H160</f>
        <v>7303389.8300000001</v>
      </c>
      <c r="I161" s="302">
        <f>ВС!I160+ЛП!I160</f>
        <v>21910169.489999998</v>
      </c>
      <c r="J161" s="303">
        <f t="shared" si="61"/>
        <v>11251</v>
      </c>
      <c r="K161" s="302">
        <f>ВС!K160+ЛП!K160</f>
        <v>666789901.75</v>
      </c>
      <c r="L161" s="302">
        <f>ВС!L160+ЛП!L160</f>
        <v>55351785.189999998</v>
      </c>
      <c r="M161" s="302">
        <f>ВС!M160+ЛП!M160</f>
        <v>611438116.55999994</v>
      </c>
      <c r="N161" s="302">
        <f>ВС!N160+ЛП!N160</f>
        <v>415042286.23000002</v>
      </c>
    </row>
    <row r="162" spans="1:14" x14ac:dyDescent="0.3">
      <c r="A162" s="298">
        <v>11263</v>
      </c>
      <c r="B162" s="299">
        <f>ВС!B161+ЛП!B161</f>
        <v>666789901.75</v>
      </c>
      <c r="C162" s="299">
        <f>ВС!C161+ЛП!C161</f>
        <v>55351785.189999998</v>
      </c>
      <c r="D162" s="299">
        <f>ВС!D161+ЛП!D161</f>
        <v>611438116.55999994</v>
      </c>
      <c r="E162" s="299">
        <f>ВС!E161+ЛП!E161</f>
        <v>6086158.1900000004</v>
      </c>
      <c r="F162" s="300">
        <f t="shared" si="51"/>
        <v>20</v>
      </c>
      <c r="G162" s="301">
        <f>ВС!G161+ЛП!G161</f>
        <v>1217231.6399999999</v>
      </c>
      <c r="H162" s="302">
        <f>ВС!H161+ЛП!H161</f>
        <v>7303389.8300000001</v>
      </c>
      <c r="I162" s="302">
        <f>ВС!I161+ЛП!I161</f>
        <v>0</v>
      </c>
      <c r="J162" s="303" t="str">
        <f t="shared" si="61"/>
        <v>-</v>
      </c>
      <c r="K162" s="302">
        <f>ВС!K161+ЛП!K161</f>
        <v>666789901.75</v>
      </c>
      <c r="L162" s="302">
        <f>ВС!L161+ЛП!L161</f>
        <v>55351785.189999998</v>
      </c>
      <c r="M162" s="302">
        <f>ВС!M161+ЛП!M161</f>
        <v>611438116.55999994</v>
      </c>
      <c r="N162" s="302">
        <f>ВС!N161+ЛП!N161</f>
        <v>415042286.23000002</v>
      </c>
    </row>
    <row r="163" spans="1:14" ht="19.5" thickBot="1" x14ac:dyDescent="0.35">
      <c r="A163" s="285">
        <v>11293</v>
      </c>
      <c r="B163" s="286">
        <f>ВС!B162+ЛП!B162</f>
        <v>666789901.75</v>
      </c>
      <c r="C163" s="286">
        <f>ВС!C162+ЛП!C162</f>
        <v>55351785.189999998</v>
      </c>
      <c r="D163" s="286">
        <f>ВС!D162+ЛП!D162</f>
        <v>611438116.55999994</v>
      </c>
      <c r="E163" s="286">
        <f>ВС!E162+ЛП!E162</f>
        <v>6086158.2199999997</v>
      </c>
      <c r="F163" s="304">
        <f t="shared" si="51"/>
        <v>20</v>
      </c>
      <c r="G163" s="288">
        <f>ВС!G162+ЛП!G162</f>
        <v>1217231.6499999999</v>
      </c>
      <c r="H163" s="289">
        <f>ВС!H162+ЛП!H162</f>
        <v>7303389.8700000001</v>
      </c>
      <c r="I163" s="289">
        <f>ВС!I162+ЛП!I162</f>
        <v>0</v>
      </c>
      <c r="J163" s="290" t="str">
        <f t="shared" si="61"/>
        <v>-</v>
      </c>
      <c r="K163" s="289">
        <f>ВС!K162+ЛП!K162</f>
        <v>666789901.75</v>
      </c>
      <c r="L163" s="289">
        <f>ВС!L162+ЛП!L162</f>
        <v>55351785.189999998</v>
      </c>
      <c r="M163" s="289">
        <f>ВС!M162+ЛП!M162</f>
        <v>611438116.55999994</v>
      </c>
      <c r="N163" s="289">
        <f>ВС!N162+ЛП!N162</f>
        <v>415042286.23000002</v>
      </c>
    </row>
    <row r="164" spans="1:14" s="306" customFormat="1" ht="19.5" thickBot="1" x14ac:dyDescent="0.35">
      <c r="A164" s="291">
        <f>A151+1</f>
        <v>2030</v>
      </c>
      <c r="B164" s="292">
        <f t="shared" ref="B164:D164" si="62">B152</f>
        <v>718775585.20000005</v>
      </c>
      <c r="C164" s="292">
        <f t="shared" si="62"/>
        <v>51985683.450000003</v>
      </c>
      <c r="D164" s="292">
        <f t="shared" si="62"/>
        <v>666789901.75</v>
      </c>
      <c r="E164" s="292">
        <f t="shared" ref="E164" si="63">SUM(E152:E163)</f>
        <v>73033898.310000002</v>
      </c>
      <c r="F164" s="305">
        <f t="shared" si="51"/>
        <v>20</v>
      </c>
      <c r="G164" s="294">
        <f t="shared" ref="G164:I164" si="64">SUM(G152:G163)</f>
        <v>14606779.689999999</v>
      </c>
      <c r="H164" s="295">
        <f t="shared" si="64"/>
        <v>87640678</v>
      </c>
      <c r="I164" s="295">
        <f t="shared" si="64"/>
        <v>86814406.769999996</v>
      </c>
      <c r="J164" s="296"/>
      <c r="K164" s="295">
        <f t="shared" ref="K164:N164" si="65">K163</f>
        <v>666789901.75</v>
      </c>
      <c r="L164" s="295">
        <f t="shared" si="65"/>
        <v>55351785.189999998</v>
      </c>
      <c r="M164" s="295">
        <f t="shared" si="65"/>
        <v>611438116.55999994</v>
      </c>
      <c r="N164" s="295">
        <f t="shared" si="65"/>
        <v>415042286.23000002</v>
      </c>
    </row>
    <row r="165" spans="1:14" x14ac:dyDescent="0.3">
      <c r="A165" s="279">
        <v>11324</v>
      </c>
      <c r="B165" s="280">
        <f>ВС!B164+ЛП!B164</f>
        <v>666789901.75</v>
      </c>
      <c r="C165" s="280">
        <f>ВС!C164+ЛП!C164</f>
        <v>55351785.189999998</v>
      </c>
      <c r="D165" s="280">
        <f>ВС!D164+ЛП!D164</f>
        <v>611438116.55999994</v>
      </c>
      <c r="E165" s="280">
        <f>ВС!E164+ЛП!E164</f>
        <v>6321327.6799999997</v>
      </c>
      <c r="F165" s="297">
        <f t="shared" si="51"/>
        <v>20</v>
      </c>
      <c r="G165" s="282">
        <f>ВС!G164+ЛП!G164</f>
        <v>1264265.54</v>
      </c>
      <c r="H165" s="283">
        <f>ВС!H164+ЛП!H164</f>
        <v>7585593.2199999997</v>
      </c>
      <c r="I165" s="283">
        <f>ВС!I164+ЛП!I164</f>
        <v>21910169.530000001</v>
      </c>
      <c r="J165" s="284">
        <f t="shared" ref="J165:J176" si="66">IF(I165=0,"-",A165+19)</f>
        <v>11343</v>
      </c>
      <c r="K165" s="283">
        <f>ВС!K164+ЛП!K164</f>
        <v>653586913.04999995</v>
      </c>
      <c r="L165" s="283">
        <f>ВС!L164+ЛП!L164</f>
        <v>56198395.369999997</v>
      </c>
      <c r="M165" s="283">
        <f>ВС!M164+ЛП!M164</f>
        <v>597388517.67999995</v>
      </c>
      <c r="N165" s="283">
        <f>ВС!N164+ЛП!N164</f>
        <v>423749467.06</v>
      </c>
    </row>
    <row r="166" spans="1:14" x14ac:dyDescent="0.3">
      <c r="A166" s="298">
        <v>11355</v>
      </c>
      <c r="B166" s="299">
        <f>ВС!B165+ЛП!B165</f>
        <v>653586913.04999995</v>
      </c>
      <c r="C166" s="299">
        <f>ВС!C165+ЛП!C165</f>
        <v>56198395.369999997</v>
      </c>
      <c r="D166" s="299">
        <f>ВС!D165+ЛП!D165</f>
        <v>597388517.67999995</v>
      </c>
      <c r="E166" s="299">
        <f>ВС!E165+ЛП!E165</f>
        <v>6321327.6799999997</v>
      </c>
      <c r="F166" s="300">
        <f t="shared" si="51"/>
        <v>20</v>
      </c>
      <c r="G166" s="301">
        <f>ВС!G165+ЛП!G165</f>
        <v>1264265.54</v>
      </c>
      <c r="H166" s="302">
        <f>ВС!H165+ЛП!H165</f>
        <v>7585593.2199999997</v>
      </c>
      <c r="I166" s="302">
        <f>ВС!I165+ЛП!I165</f>
        <v>0</v>
      </c>
      <c r="J166" s="303" t="str">
        <f t="shared" si="66"/>
        <v>-</v>
      </c>
      <c r="K166" s="302">
        <f>ВС!K165+ЛП!K165</f>
        <v>653586913.04999995</v>
      </c>
      <c r="L166" s="302">
        <f>ВС!L165+ЛП!L165</f>
        <v>56198395.369999997</v>
      </c>
      <c r="M166" s="302">
        <f>ВС!M165+ЛП!M165</f>
        <v>597388517.67999995</v>
      </c>
      <c r="N166" s="302">
        <f>ВС!N165+ЛП!N165</f>
        <v>423749467.06</v>
      </c>
    </row>
    <row r="167" spans="1:14" x14ac:dyDescent="0.3">
      <c r="A167" s="298">
        <v>11383</v>
      </c>
      <c r="B167" s="299">
        <f>ВС!B166+ЛП!B166</f>
        <v>653586913.04999995</v>
      </c>
      <c r="C167" s="299">
        <f>ВС!C166+ЛП!C166</f>
        <v>56198395.369999997</v>
      </c>
      <c r="D167" s="299">
        <f>ВС!D166+ЛП!D166</f>
        <v>597388517.67999995</v>
      </c>
      <c r="E167" s="299">
        <f>ВС!E166+ЛП!E166</f>
        <v>6321327.6799999997</v>
      </c>
      <c r="F167" s="300">
        <f t="shared" si="51"/>
        <v>20</v>
      </c>
      <c r="G167" s="301">
        <f>ВС!G166+ЛП!G166</f>
        <v>1264265.54</v>
      </c>
      <c r="H167" s="302">
        <f>ВС!H166+ЛП!H166</f>
        <v>7585593.2199999997</v>
      </c>
      <c r="I167" s="302">
        <f>ВС!I166+ЛП!I166</f>
        <v>0</v>
      </c>
      <c r="J167" s="303" t="str">
        <f t="shared" si="66"/>
        <v>-</v>
      </c>
      <c r="K167" s="302">
        <f>ВС!K166+ЛП!K166</f>
        <v>653586913.04999995</v>
      </c>
      <c r="L167" s="302">
        <f>ВС!L166+ЛП!L166</f>
        <v>56198395.369999997</v>
      </c>
      <c r="M167" s="302">
        <f>ВС!M166+ЛП!M166</f>
        <v>597388517.67999995</v>
      </c>
      <c r="N167" s="302">
        <f>ВС!N166+ЛП!N166</f>
        <v>423749467.06</v>
      </c>
    </row>
    <row r="168" spans="1:14" x14ac:dyDescent="0.3">
      <c r="A168" s="298">
        <v>11414</v>
      </c>
      <c r="B168" s="299">
        <f>ВС!B167+ЛП!B167</f>
        <v>653586913.04999995</v>
      </c>
      <c r="C168" s="299">
        <f>ВС!C167+ЛП!C167</f>
        <v>56198395.369999997</v>
      </c>
      <c r="D168" s="299">
        <f>ВС!D167+ЛП!D167</f>
        <v>597388517.67999995</v>
      </c>
      <c r="E168" s="299">
        <f>ВС!E167+ЛП!E167</f>
        <v>6321327.6799999997</v>
      </c>
      <c r="F168" s="300">
        <f t="shared" si="51"/>
        <v>20</v>
      </c>
      <c r="G168" s="301">
        <f>ВС!G167+ЛП!G167</f>
        <v>1264265.54</v>
      </c>
      <c r="H168" s="302">
        <f>ВС!H167+ЛП!H167</f>
        <v>7585593.2199999997</v>
      </c>
      <c r="I168" s="302">
        <f>ВС!I167+ЛП!I167</f>
        <v>22756779.66</v>
      </c>
      <c r="J168" s="303">
        <f t="shared" si="66"/>
        <v>11433</v>
      </c>
      <c r="K168" s="302">
        <f>ВС!K167+ЛП!K167</f>
        <v>639537314.22000003</v>
      </c>
      <c r="L168" s="302">
        <f>ВС!L167+ЛП!L167</f>
        <v>58463649.619999997</v>
      </c>
      <c r="M168" s="302">
        <f>ВС!M167+ЛП!M167</f>
        <v>581073664.60000002</v>
      </c>
      <c r="N168" s="302">
        <f>ВС!N167+ЛП!N167</f>
        <v>432456647.88999999</v>
      </c>
    </row>
    <row r="169" spans="1:14" x14ac:dyDescent="0.3">
      <c r="A169" s="298">
        <v>11444</v>
      </c>
      <c r="B169" s="299">
        <f>ВС!B168+ЛП!B168</f>
        <v>639537314.22000003</v>
      </c>
      <c r="C169" s="299">
        <f>ВС!C168+ЛП!C168</f>
        <v>58463649.619999997</v>
      </c>
      <c r="D169" s="299">
        <f>ВС!D168+ЛП!D168</f>
        <v>581073664.60000002</v>
      </c>
      <c r="E169" s="299">
        <f>ВС!E168+ЛП!E168</f>
        <v>6321327.6799999997</v>
      </c>
      <c r="F169" s="300">
        <f t="shared" si="51"/>
        <v>20</v>
      </c>
      <c r="G169" s="301">
        <f>ВС!G168+ЛП!G168</f>
        <v>1264265.54</v>
      </c>
      <c r="H169" s="302">
        <f>ВС!H168+ЛП!H168</f>
        <v>7585593.2199999997</v>
      </c>
      <c r="I169" s="302">
        <f>ВС!I168+ЛП!I168</f>
        <v>0</v>
      </c>
      <c r="J169" s="303" t="str">
        <f t="shared" si="66"/>
        <v>-</v>
      </c>
      <c r="K169" s="302">
        <f>ВС!K168+ЛП!K168</f>
        <v>639537314.22000003</v>
      </c>
      <c r="L169" s="302">
        <f>ВС!L168+ЛП!L168</f>
        <v>58463649.619999997</v>
      </c>
      <c r="M169" s="302">
        <f>ВС!M168+ЛП!M168</f>
        <v>581073664.60000002</v>
      </c>
      <c r="N169" s="302">
        <f>ВС!N168+ЛП!N168</f>
        <v>432456647.88999999</v>
      </c>
    </row>
    <row r="170" spans="1:14" x14ac:dyDescent="0.3">
      <c r="A170" s="298">
        <v>11475</v>
      </c>
      <c r="B170" s="299">
        <f>ВС!B169+ЛП!B169</f>
        <v>639537314.22000003</v>
      </c>
      <c r="C170" s="299">
        <f>ВС!C169+ЛП!C169</f>
        <v>58463649.619999997</v>
      </c>
      <c r="D170" s="299">
        <f>ВС!D169+ЛП!D169</f>
        <v>581073664.60000002</v>
      </c>
      <c r="E170" s="299">
        <f>ВС!E169+ЛП!E169</f>
        <v>6321327.6799999997</v>
      </c>
      <c r="F170" s="300">
        <f t="shared" si="51"/>
        <v>20</v>
      </c>
      <c r="G170" s="301">
        <f>ВС!G169+ЛП!G169</f>
        <v>1264265.54</v>
      </c>
      <c r="H170" s="302">
        <f>ВС!H169+ЛП!H169</f>
        <v>7585593.2199999997</v>
      </c>
      <c r="I170" s="302">
        <f>ВС!I169+ЛП!I169</f>
        <v>0</v>
      </c>
      <c r="J170" s="303" t="str">
        <f t="shared" si="66"/>
        <v>-</v>
      </c>
      <c r="K170" s="302">
        <f>ВС!K169+ЛП!K169</f>
        <v>639537314.22000003</v>
      </c>
      <c r="L170" s="302">
        <f>ВС!L169+ЛП!L169</f>
        <v>58463649.619999997</v>
      </c>
      <c r="M170" s="302">
        <f>ВС!M169+ЛП!M169</f>
        <v>581073664.60000002</v>
      </c>
      <c r="N170" s="302">
        <f>ВС!N169+ЛП!N169</f>
        <v>432456647.88999999</v>
      </c>
    </row>
    <row r="171" spans="1:14" x14ac:dyDescent="0.3">
      <c r="A171" s="298">
        <v>11505</v>
      </c>
      <c r="B171" s="299">
        <f>ВС!B170+ЛП!B170</f>
        <v>639537314.22000003</v>
      </c>
      <c r="C171" s="299">
        <f>ВС!C170+ЛП!C170</f>
        <v>58463649.619999997</v>
      </c>
      <c r="D171" s="299">
        <f>ВС!D170+ЛП!D170</f>
        <v>581073664.60000002</v>
      </c>
      <c r="E171" s="299">
        <f>ВС!E170+ЛП!E170</f>
        <v>6321327.6799999997</v>
      </c>
      <c r="F171" s="300">
        <f t="shared" si="51"/>
        <v>20</v>
      </c>
      <c r="G171" s="301">
        <f>ВС!G170+ЛП!G170</f>
        <v>1264265.54</v>
      </c>
      <c r="H171" s="302">
        <f>ВС!H170+ЛП!H170</f>
        <v>7585593.2199999997</v>
      </c>
      <c r="I171" s="302">
        <f>ВС!I170+ЛП!I170</f>
        <v>22756779.66</v>
      </c>
      <c r="J171" s="303">
        <f t="shared" si="66"/>
        <v>11524</v>
      </c>
      <c r="K171" s="302">
        <f>ВС!K170+ЛП!K170</f>
        <v>625487715.38999999</v>
      </c>
      <c r="L171" s="302">
        <f>ВС!L170+ЛП!L170</f>
        <v>60728903.869999997</v>
      </c>
      <c r="M171" s="302">
        <f>ВС!M170+ЛП!M170</f>
        <v>564758811.51999998</v>
      </c>
      <c r="N171" s="302">
        <f>ВС!N170+ЛП!N170</f>
        <v>441163828.72000003</v>
      </c>
    </row>
    <row r="172" spans="1:14" x14ac:dyDescent="0.3">
      <c r="A172" s="298">
        <v>11536</v>
      </c>
      <c r="B172" s="299">
        <f>ВС!B171+ЛП!B171</f>
        <v>625487715.38999999</v>
      </c>
      <c r="C172" s="299">
        <f>ВС!C171+ЛП!C171</f>
        <v>60728903.869999997</v>
      </c>
      <c r="D172" s="299">
        <f>ВС!D171+ЛП!D171</f>
        <v>564758811.51999998</v>
      </c>
      <c r="E172" s="299">
        <f>ВС!E171+ЛП!E171</f>
        <v>6321327.6799999997</v>
      </c>
      <c r="F172" s="300">
        <f t="shared" si="51"/>
        <v>20</v>
      </c>
      <c r="G172" s="301">
        <f>ВС!G171+ЛП!G171</f>
        <v>1264265.54</v>
      </c>
      <c r="H172" s="302">
        <f>ВС!H171+ЛП!H171</f>
        <v>7585593.2199999997</v>
      </c>
      <c r="I172" s="302">
        <f>ВС!I171+ЛП!I171</f>
        <v>0</v>
      </c>
      <c r="J172" s="303" t="str">
        <f t="shared" si="66"/>
        <v>-</v>
      </c>
      <c r="K172" s="302">
        <f>ВС!K171+ЛП!K171</f>
        <v>625487715.38999999</v>
      </c>
      <c r="L172" s="302">
        <f>ВС!L171+ЛП!L171</f>
        <v>60728903.869999997</v>
      </c>
      <c r="M172" s="302">
        <f>ВС!M171+ЛП!M171</f>
        <v>564758811.51999998</v>
      </c>
      <c r="N172" s="302">
        <f>ВС!N171+ЛП!N171</f>
        <v>441163828.72000003</v>
      </c>
    </row>
    <row r="173" spans="1:14" x14ac:dyDescent="0.3">
      <c r="A173" s="298">
        <v>11567</v>
      </c>
      <c r="B173" s="299">
        <f>ВС!B172+ЛП!B172</f>
        <v>625487715.38999999</v>
      </c>
      <c r="C173" s="299">
        <f>ВС!C172+ЛП!C172</f>
        <v>60728903.869999997</v>
      </c>
      <c r="D173" s="299">
        <f>ВС!D172+ЛП!D172</f>
        <v>564758811.51999998</v>
      </c>
      <c r="E173" s="299">
        <f>ВС!E172+ЛП!E172</f>
        <v>6321327.6799999997</v>
      </c>
      <c r="F173" s="300">
        <f t="shared" si="51"/>
        <v>20</v>
      </c>
      <c r="G173" s="301">
        <f>ВС!G172+ЛП!G172</f>
        <v>1264265.54</v>
      </c>
      <c r="H173" s="302">
        <f>ВС!H172+ЛП!H172</f>
        <v>7585593.2199999997</v>
      </c>
      <c r="I173" s="302">
        <f>ВС!I172+ЛП!I172</f>
        <v>0</v>
      </c>
      <c r="J173" s="303" t="str">
        <f t="shared" si="66"/>
        <v>-</v>
      </c>
      <c r="K173" s="302">
        <f>ВС!K172+ЛП!K172</f>
        <v>625487715.38999999</v>
      </c>
      <c r="L173" s="302">
        <f>ВС!L172+ЛП!L172</f>
        <v>60728903.869999997</v>
      </c>
      <c r="M173" s="302">
        <f>ВС!M172+ЛП!M172</f>
        <v>564758811.51999998</v>
      </c>
      <c r="N173" s="302">
        <f>ВС!N172+ЛП!N172</f>
        <v>441163828.72000003</v>
      </c>
    </row>
    <row r="174" spans="1:14" x14ac:dyDescent="0.3">
      <c r="A174" s="298">
        <v>11597</v>
      </c>
      <c r="B174" s="299">
        <f>ВС!B173+ЛП!B173</f>
        <v>625487715.38999999</v>
      </c>
      <c r="C174" s="299">
        <f>ВС!C173+ЛП!C173</f>
        <v>60728903.869999997</v>
      </c>
      <c r="D174" s="299">
        <f>ВС!D173+ЛП!D173</f>
        <v>564758811.51999998</v>
      </c>
      <c r="E174" s="299">
        <f>ВС!E173+ЛП!E173</f>
        <v>6321327.6799999997</v>
      </c>
      <c r="F174" s="300">
        <f t="shared" si="51"/>
        <v>20</v>
      </c>
      <c r="G174" s="301">
        <f>ВС!G173+ЛП!G173</f>
        <v>1264265.54</v>
      </c>
      <c r="H174" s="302">
        <f>ВС!H173+ЛП!H173</f>
        <v>7585593.2199999997</v>
      </c>
      <c r="I174" s="302">
        <f>ВС!I173+ЛП!I173</f>
        <v>22756779.66</v>
      </c>
      <c r="J174" s="303">
        <f t="shared" si="66"/>
        <v>11616</v>
      </c>
      <c r="K174" s="302">
        <f>ВС!K173+ЛП!K173</f>
        <v>611438116.55999994</v>
      </c>
      <c r="L174" s="302">
        <f>ВС!L173+ЛП!L173</f>
        <v>62994158.119999997</v>
      </c>
      <c r="M174" s="302">
        <f>ВС!M173+ЛП!M173</f>
        <v>548443958.44000006</v>
      </c>
      <c r="N174" s="302">
        <f>ВС!N173+ЛП!N173</f>
        <v>449871009.55000001</v>
      </c>
    </row>
    <row r="175" spans="1:14" x14ac:dyDescent="0.3">
      <c r="A175" s="298">
        <v>11628</v>
      </c>
      <c r="B175" s="299">
        <f>ВС!B174+ЛП!B174</f>
        <v>611438116.55999994</v>
      </c>
      <c r="C175" s="299">
        <f>ВС!C174+ЛП!C174</f>
        <v>62994158.119999997</v>
      </c>
      <c r="D175" s="299">
        <f>ВС!D174+ЛП!D174</f>
        <v>548443958.44000006</v>
      </c>
      <c r="E175" s="299">
        <f>ВС!E174+ЛП!E174</f>
        <v>6321327.6799999997</v>
      </c>
      <c r="F175" s="300">
        <f t="shared" si="51"/>
        <v>20</v>
      </c>
      <c r="G175" s="301">
        <f>ВС!G174+ЛП!G174</f>
        <v>1264265.54</v>
      </c>
      <c r="H175" s="302">
        <f>ВС!H174+ЛП!H174</f>
        <v>7585593.2199999997</v>
      </c>
      <c r="I175" s="302">
        <f>ВС!I174+ЛП!I174</f>
        <v>0</v>
      </c>
      <c r="J175" s="303" t="str">
        <f t="shared" si="66"/>
        <v>-</v>
      </c>
      <c r="K175" s="302">
        <f>ВС!K174+ЛП!K174</f>
        <v>611438116.55999994</v>
      </c>
      <c r="L175" s="302">
        <f>ВС!L174+ЛП!L174</f>
        <v>62994158.119999997</v>
      </c>
      <c r="M175" s="302">
        <f>ВС!M174+ЛП!M174</f>
        <v>548443958.44000006</v>
      </c>
      <c r="N175" s="302">
        <f>ВС!N174+ЛП!N174</f>
        <v>449871009.55000001</v>
      </c>
    </row>
    <row r="176" spans="1:14" ht="19.5" thickBot="1" x14ac:dyDescent="0.35">
      <c r="A176" s="285">
        <v>11658</v>
      </c>
      <c r="B176" s="286">
        <f>ВС!B175+ЛП!B175</f>
        <v>611438116.55999994</v>
      </c>
      <c r="C176" s="286">
        <f>ВС!C175+ЛП!C175</f>
        <v>62994158.119999997</v>
      </c>
      <c r="D176" s="286">
        <f>ВС!D175+ЛП!D175</f>
        <v>548443958.44000006</v>
      </c>
      <c r="E176" s="286">
        <f>ВС!E175+ЛП!E175</f>
        <v>6321327.7199999997</v>
      </c>
      <c r="F176" s="304">
        <f t="shared" si="51"/>
        <v>20</v>
      </c>
      <c r="G176" s="288">
        <f>ВС!G175+ЛП!G175</f>
        <v>1264265.55</v>
      </c>
      <c r="H176" s="289">
        <f>ВС!H175+ЛП!H175</f>
        <v>7585593.2699999996</v>
      </c>
      <c r="I176" s="289">
        <f>ВС!I175+ЛП!I175</f>
        <v>0</v>
      </c>
      <c r="J176" s="290" t="str">
        <f t="shared" si="66"/>
        <v>-</v>
      </c>
      <c r="K176" s="289">
        <f>ВС!K175+ЛП!K175</f>
        <v>611438116.55999994</v>
      </c>
      <c r="L176" s="289">
        <f>ВС!L175+ЛП!L175</f>
        <v>62994158.119999997</v>
      </c>
      <c r="M176" s="289">
        <f>ВС!M175+ЛП!M175</f>
        <v>548443958.44000006</v>
      </c>
      <c r="N176" s="289">
        <f>ВС!N175+ЛП!N175</f>
        <v>449871009.55000001</v>
      </c>
    </row>
    <row r="177" spans="1:14" s="306" customFormat="1" ht="19.5" thickBot="1" x14ac:dyDescent="0.35">
      <c r="A177" s="291">
        <f>A164+1</f>
        <v>2031</v>
      </c>
      <c r="B177" s="292">
        <f t="shared" ref="B177:D177" si="67">B165</f>
        <v>666789901.75</v>
      </c>
      <c r="C177" s="292">
        <f t="shared" si="67"/>
        <v>55351785.189999998</v>
      </c>
      <c r="D177" s="292">
        <f t="shared" si="67"/>
        <v>611438116.55999994</v>
      </c>
      <c r="E177" s="292">
        <f t="shared" ref="E177" si="68">SUM(E165:E176)</f>
        <v>75855932.200000003</v>
      </c>
      <c r="F177" s="305">
        <f t="shared" si="51"/>
        <v>20</v>
      </c>
      <c r="G177" s="294">
        <f t="shared" ref="G177:I177" si="69">SUM(G165:G176)</f>
        <v>15171186.49</v>
      </c>
      <c r="H177" s="295">
        <f t="shared" si="69"/>
        <v>91027118.689999998</v>
      </c>
      <c r="I177" s="295">
        <f t="shared" si="69"/>
        <v>90180508.510000005</v>
      </c>
      <c r="J177" s="296"/>
      <c r="K177" s="295">
        <f t="shared" ref="K177:N177" si="70">K176</f>
        <v>611438116.55999994</v>
      </c>
      <c r="L177" s="295">
        <f t="shared" si="70"/>
        <v>62994158.119999997</v>
      </c>
      <c r="M177" s="295">
        <f t="shared" si="70"/>
        <v>548443958.44000006</v>
      </c>
      <c r="N177" s="295">
        <f t="shared" si="70"/>
        <v>449871009.55000001</v>
      </c>
    </row>
    <row r="178" spans="1:14" x14ac:dyDescent="0.3">
      <c r="A178" s="279">
        <v>11689</v>
      </c>
      <c r="B178" s="280">
        <f>ВС!B177+ЛП!B177</f>
        <v>611438116.55999994</v>
      </c>
      <c r="C178" s="280">
        <f>ВС!C177+ЛП!C177</f>
        <v>62994158.119999997</v>
      </c>
      <c r="D178" s="280">
        <f>ВС!D177+ЛП!D177</f>
        <v>548443958.44000006</v>
      </c>
      <c r="E178" s="280">
        <f>ВС!E177+ЛП!E177</f>
        <v>6950564.9699999997</v>
      </c>
      <c r="F178" s="297">
        <f t="shared" si="51"/>
        <v>20</v>
      </c>
      <c r="G178" s="282">
        <f>ВС!G177+ЛП!G177</f>
        <v>1390113</v>
      </c>
      <c r="H178" s="283">
        <f>ВС!H177+ЛП!H177</f>
        <v>8340677.9699999997</v>
      </c>
      <c r="I178" s="283">
        <f>ВС!I177+ЛП!I177</f>
        <v>22756779.710000001</v>
      </c>
      <c r="J178" s="284">
        <f t="shared" ref="J178:J189" si="71">IF(I178=0,"-",A178+19)</f>
        <v>11708</v>
      </c>
      <c r="K178" s="283">
        <f>ВС!K177+ЛП!K177</f>
        <v>597388517.67999995</v>
      </c>
      <c r="L178" s="283">
        <f>ВС!L177+ЛП!L177</f>
        <v>65259412.340000004</v>
      </c>
      <c r="M178" s="283">
        <f>ВС!M177+ЛП!M177</f>
        <v>532129105.33999997</v>
      </c>
      <c r="N178" s="283">
        <f>ВС!N177+ЛП!N177</f>
        <v>458578190.38</v>
      </c>
    </row>
    <row r="179" spans="1:14" x14ac:dyDescent="0.3">
      <c r="A179" s="298">
        <v>11720</v>
      </c>
      <c r="B179" s="299">
        <f>ВС!B178+ЛП!B178</f>
        <v>597388517.67999995</v>
      </c>
      <c r="C179" s="299">
        <f>ВС!C178+ЛП!C178</f>
        <v>65259412.340000004</v>
      </c>
      <c r="D179" s="299">
        <f>ВС!D178+ЛП!D178</f>
        <v>532129105.33999997</v>
      </c>
      <c r="E179" s="299">
        <f>ВС!E178+ЛП!E178</f>
        <v>6950564.9699999997</v>
      </c>
      <c r="F179" s="300">
        <f t="shared" si="51"/>
        <v>20</v>
      </c>
      <c r="G179" s="301">
        <f>ВС!G178+ЛП!G178</f>
        <v>1390113</v>
      </c>
      <c r="H179" s="302">
        <f>ВС!H178+ЛП!H178</f>
        <v>8340677.9699999997</v>
      </c>
      <c r="I179" s="302">
        <f>ВС!I178+ЛП!I178</f>
        <v>0</v>
      </c>
      <c r="J179" s="303" t="str">
        <f t="shared" si="71"/>
        <v>-</v>
      </c>
      <c r="K179" s="302">
        <f>ВС!K178+ЛП!K178</f>
        <v>597388517.67999995</v>
      </c>
      <c r="L179" s="302">
        <f>ВС!L178+ЛП!L178</f>
        <v>65259412.340000004</v>
      </c>
      <c r="M179" s="302">
        <f>ВС!M178+ЛП!M178</f>
        <v>532129105.33999997</v>
      </c>
      <c r="N179" s="302">
        <f>ВС!N178+ЛП!N178</f>
        <v>458578190.38</v>
      </c>
    </row>
    <row r="180" spans="1:14" x14ac:dyDescent="0.3">
      <c r="A180" s="298">
        <v>11749</v>
      </c>
      <c r="B180" s="299">
        <f>ВС!B179+ЛП!B179</f>
        <v>597388517.67999995</v>
      </c>
      <c r="C180" s="299">
        <f>ВС!C179+ЛП!C179</f>
        <v>65259412.340000004</v>
      </c>
      <c r="D180" s="299">
        <f>ВС!D179+ЛП!D179</f>
        <v>532129105.33999997</v>
      </c>
      <c r="E180" s="299">
        <f>ВС!E179+ЛП!E179</f>
        <v>6950564.9699999997</v>
      </c>
      <c r="F180" s="300">
        <f t="shared" si="51"/>
        <v>20</v>
      </c>
      <c r="G180" s="301">
        <f>ВС!G179+ЛП!G179</f>
        <v>1390113</v>
      </c>
      <c r="H180" s="302">
        <f>ВС!H179+ЛП!H179</f>
        <v>8340677.9699999997</v>
      </c>
      <c r="I180" s="302">
        <f>ВС!I179+ЛП!I179</f>
        <v>0</v>
      </c>
      <c r="J180" s="303" t="str">
        <f t="shared" si="71"/>
        <v>-</v>
      </c>
      <c r="K180" s="302">
        <f>ВС!K179+ЛП!K179</f>
        <v>597388517.67999995</v>
      </c>
      <c r="L180" s="302">
        <f>ВС!L179+ЛП!L179</f>
        <v>65259412.340000004</v>
      </c>
      <c r="M180" s="302">
        <f>ВС!M179+ЛП!M179</f>
        <v>532129105.33999997</v>
      </c>
      <c r="N180" s="302">
        <f>ВС!N179+ЛП!N179</f>
        <v>458578190.38</v>
      </c>
    </row>
    <row r="181" spans="1:14" x14ac:dyDescent="0.3">
      <c r="A181" s="298">
        <v>11780</v>
      </c>
      <c r="B181" s="299">
        <f>ВС!B180+ЛП!B180</f>
        <v>597388517.67999995</v>
      </c>
      <c r="C181" s="299">
        <f>ВС!C180+ЛП!C180</f>
        <v>65259412.340000004</v>
      </c>
      <c r="D181" s="299">
        <f>ВС!D180+ЛП!D180</f>
        <v>532129105.33999997</v>
      </c>
      <c r="E181" s="299">
        <f>ВС!E180+ЛП!E180</f>
        <v>6950564.9699999997</v>
      </c>
      <c r="F181" s="300">
        <f t="shared" si="51"/>
        <v>20</v>
      </c>
      <c r="G181" s="301">
        <f>ВС!G180+ЛП!G180</f>
        <v>1390113</v>
      </c>
      <c r="H181" s="302">
        <f>ВС!H180+ЛП!H180</f>
        <v>8340677.9699999997</v>
      </c>
      <c r="I181" s="302">
        <f>ВС!I180+ЛП!I180</f>
        <v>25022033.91</v>
      </c>
      <c r="J181" s="303">
        <f t="shared" si="71"/>
        <v>11799</v>
      </c>
      <c r="K181" s="302">
        <f>ВС!K180+ЛП!K180</f>
        <v>581073664.60000002</v>
      </c>
      <c r="L181" s="302">
        <f>ВС!L180+ЛП!L180</f>
        <v>51854035.909999996</v>
      </c>
      <c r="M181" s="302">
        <f>ВС!M180+ЛП!M180</f>
        <v>529219628.69</v>
      </c>
      <c r="N181" s="302">
        <f>ВС!N180+ЛП!N180</f>
        <v>467285371.20999998</v>
      </c>
    </row>
    <row r="182" spans="1:14" x14ac:dyDescent="0.3">
      <c r="A182" s="298">
        <v>11810</v>
      </c>
      <c r="B182" s="299">
        <f>ВС!B181+ЛП!B181</f>
        <v>581073664.60000002</v>
      </c>
      <c r="C182" s="299">
        <f>ВС!C181+ЛП!C181</f>
        <v>51854035.909999996</v>
      </c>
      <c r="D182" s="299">
        <f>ВС!D181+ЛП!D181</f>
        <v>529219628.69</v>
      </c>
      <c r="E182" s="299">
        <f>ВС!E181+ЛП!E181</f>
        <v>6950564.9699999997</v>
      </c>
      <c r="F182" s="300">
        <f t="shared" si="51"/>
        <v>20</v>
      </c>
      <c r="G182" s="301">
        <f>ВС!G181+ЛП!G181</f>
        <v>1390113</v>
      </c>
      <c r="H182" s="302">
        <f>ВС!H181+ЛП!H181</f>
        <v>8340677.9699999997</v>
      </c>
      <c r="I182" s="302">
        <f>ВС!I181+ЛП!I181</f>
        <v>0</v>
      </c>
      <c r="J182" s="303" t="str">
        <f t="shared" si="71"/>
        <v>-</v>
      </c>
      <c r="K182" s="302">
        <f>ВС!K181+ЛП!K181</f>
        <v>581073664.60000002</v>
      </c>
      <c r="L182" s="302">
        <f>ВС!L181+ЛП!L181</f>
        <v>51854035.909999996</v>
      </c>
      <c r="M182" s="302">
        <f>ВС!M181+ЛП!M181</f>
        <v>529219628.69</v>
      </c>
      <c r="N182" s="302">
        <f>ВС!N181+ЛП!N181</f>
        <v>467285371.20999998</v>
      </c>
    </row>
    <row r="183" spans="1:14" x14ac:dyDescent="0.3">
      <c r="A183" s="298">
        <v>11841</v>
      </c>
      <c r="B183" s="299">
        <f>ВС!B182+ЛП!B182</f>
        <v>581073664.60000002</v>
      </c>
      <c r="C183" s="299">
        <f>ВС!C182+ЛП!C182</f>
        <v>51854035.909999996</v>
      </c>
      <c r="D183" s="299">
        <f>ВС!D182+ЛП!D182</f>
        <v>529219628.69</v>
      </c>
      <c r="E183" s="299">
        <f>ВС!E182+ЛП!E182</f>
        <v>6950564.9699999997</v>
      </c>
      <c r="F183" s="300">
        <f t="shared" si="51"/>
        <v>20</v>
      </c>
      <c r="G183" s="301">
        <f>ВС!G182+ЛП!G182</f>
        <v>1390113</v>
      </c>
      <c r="H183" s="302">
        <f>ВС!H182+ЛП!H182</f>
        <v>8340677.9699999997</v>
      </c>
      <c r="I183" s="302">
        <f>ВС!I182+ЛП!I182</f>
        <v>0</v>
      </c>
      <c r="J183" s="303" t="str">
        <f t="shared" si="71"/>
        <v>-</v>
      </c>
      <c r="K183" s="302">
        <f>ВС!K182+ЛП!K182</f>
        <v>581073664.60000002</v>
      </c>
      <c r="L183" s="302">
        <f>ВС!L182+ЛП!L182</f>
        <v>51854035.909999996</v>
      </c>
      <c r="M183" s="302">
        <f>ВС!M182+ЛП!M182</f>
        <v>529219628.69</v>
      </c>
      <c r="N183" s="302">
        <f>ВС!N182+ЛП!N182</f>
        <v>467285371.20999998</v>
      </c>
    </row>
    <row r="184" spans="1:14" x14ac:dyDescent="0.3">
      <c r="A184" s="298">
        <v>11871</v>
      </c>
      <c r="B184" s="299">
        <f>ВС!B183+ЛП!B183</f>
        <v>581073664.60000002</v>
      </c>
      <c r="C184" s="299">
        <f>ВС!C183+ЛП!C183</f>
        <v>51854035.909999996</v>
      </c>
      <c r="D184" s="299">
        <f>ВС!D183+ЛП!D183</f>
        <v>529219628.69</v>
      </c>
      <c r="E184" s="299">
        <f>ВС!E183+ЛП!E183</f>
        <v>6950564.9699999997</v>
      </c>
      <c r="F184" s="300">
        <f t="shared" si="51"/>
        <v>20</v>
      </c>
      <c r="G184" s="301">
        <f>ВС!G183+ЛП!G183</f>
        <v>1390113</v>
      </c>
      <c r="H184" s="302">
        <f>ВС!H183+ЛП!H183</f>
        <v>8340677.9699999997</v>
      </c>
      <c r="I184" s="302">
        <f>ВС!I183+ЛП!I183</f>
        <v>25022033.91</v>
      </c>
      <c r="J184" s="303">
        <f t="shared" si="71"/>
        <v>11890</v>
      </c>
      <c r="K184" s="302">
        <f>ВС!K183+ЛП!K183</f>
        <v>564758811.51999998</v>
      </c>
      <c r="L184" s="302">
        <f>ВС!L183+ЛП!L183</f>
        <v>38448659.479999997</v>
      </c>
      <c r="M184" s="302">
        <f>ВС!M183+ЛП!M183</f>
        <v>526310152.04000002</v>
      </c>
      <c r="N184" s="302">
        <f>ВС!N183+ЛП!N183</f>
        <v>475992552.04000002</v>
      </c>
    </row>
    <row r="185" spans="1:14" x14ac:dyDescent="0.3">
      <c r="A185" s="298">
        <v>11902</v>
      </c>
      <c r="B185" s="299">
        <f>ВС!B184+ЛП!B184</f>
        <v>564758811.51999998</v>
      </c>
      <c r="C185" s="299">
        <f>ВС!C184+ЛП!C184</f>
        <v>38448659.479999997</v>
      </c>
      <c r="D185" s="299">
        <f>ВС!D184+ЛП!D184</f>
        <v>526310152.04000002</v>
      </c>
      <c r="E185" s="299">
        <f>ВС!E184+ЛП!E184</f>
        <v>6950564.9699999997</v>
      </c>
      <c r="F185" s="300">
        <f t="shared" si="51"/>
        <v>20</v>
      </c>
      <c r="G185" s="301">
        <f>ВС!G184+ЛП!G184</f>
        <v>1390113</v>
      </c>
      <c r="H185" s="302">
        <f>ВС!H184+ЛП!H184</f>
        <v>8340677.9699999997</v>
      </c>
      <c r="I185" s="302">
        <f>ВС!I184+ЛП!I184</f>
        <v>0</v>
      </c>
      <c r="J185" s="303" t="str">
        <f t="shared" si="71"/>
        <v>-</v>
      </c>
      <c r="K185" s="302">
        <f>ВС!K184+ЛП!K184</f>
        <v>564758811.51999998</v>
      </c>
      <c r="L185" s="302">
        <f>ВС!L184+ЛП!L184</f>
        <v>38448659.479999997</v>
      </c>
      <c r="M185" s="302">
        <f>ВС!M184+ЛП!M184</f>
        <v>526310152.04000002</v>
      </c>
      <c r="N185" s="302">
        <f>ВС!N184+ЛП!N184</f>
        <v>475992552.04000002</v>
      </c>
    </row>
    <row r="186" spans="1:14" x14ac:dyDescent="0.3">
      <c r="A186" s="298">
        <v>11933</v>
      </c>
      <c r="B186" s="299">
        <f>ВС!B185+ЛП!B185</f>
        <v>564758811.51999998</v>
      </c>
      <c r="C186" s="299">
        <f>ВС!C185+ЛП!C185</f>
        <v>38448659.479999997</v>
      </c>
      <c r="D186" s="299">
        <f>ВС!D185+ЛП!D185</f>
        <v>526310152.04000002</v>
      </c>
      <c r="E186" s="299">
        <f>ВС!E185+ЛП!E185</f>
        <v>6950564.9699999997</v>
      </c>
      <c r="F186" s="300">
        <f t="shared" si="51"/>
        <v>20</v>
      </c>
      <c r="G186" s="301">
        <f>ВС!G185+ЛП!G185</f>
        <v>1390113</v>
      </c>
      <c r="H186" s="302">
        <f>ВС!H185+ЛП!H185</f>
        <v>8340677.9699999997</v>
      </c>
      <c r="I186" s="302">
        <f>ВС!I185+ЛП!I185</f>
        <v>0</v>
      </c>
      <c r="J186" s="303" t="str">
        <f t="shared" si="71"/>
        <v>-</v>
      </c>
      <c r="K186" s="302">
        <f>ВС!K185+ЛП!K185</f>
        <v>564758811.51999998</v>
      </c>
      <c r="L186" s="302">
        <f>ВС!L185+ЛП!L185</f>
        <v>38448659.479999997</v>
      </c>
      <c r="M186" s="302">
        <f>ВС!M185+ЛП!M185</f>
        <v>526310152.04000002</v>
      </c>
      <c r="N186" s="302">
        <f>ВС!N185+ЛП!N185</f>
        <v>475992552.04000002</v>
      </c>
    </row>
    <row r="187" spans="1:14" x14ac:dyDescent="0.3">
      <c r="A187" s="298">
        <v>11963</v>
      </c>
      <c r="B187" s="299">
        <f>ВС!B186+ЛП!B186</f>
        <v>564758811.51999998</v>
      </c>
      <c r="C187" s="299">
        <f>ВС!C186+ЛП!C186</f>
        <v>38448659.479999997</v>
      </c>
      <c r="D187" s="299">
        <f>ВС!D186+ЛП!D186</f>
        <v>526310152.04000002</v>
      </c>
      <c r="E187" s="299">
        <f>ВС!E186+ЛП!E186</f>
        <v>6950564.9699999997</v>
      </c>
      <c r="F187" s="300">
        <f t="shared" si="51"/>
        <v>20</v>
      </c>
      <c r="G187" s="301">
        <f>ВС!G186+ЛП!G186</f>
        <v>1390113</v>
      </c>
      <c r="H187" s="302">
        <f>ВС!H186+ЛП!H186</f>
        <v>8340677.9699999997</v>
      </c>
      <c r="I187" s="302">
        <f>ВС!I186+ЛП!I186</f>
        <v>25022033.91</v>
      </c>
      <c r="J187" s="303">
        <f t="shared" si="71"/>
        <v>11982</v>
      </c>
      <c r="K187" s="302">
        <f>ВС!K186+ЛП!K186</f>
        <v>548443958.44000006</v>
      </c>
      <c r="L187" s="302">
        <f>ВС!L186+ЛП!L186</f>
        <v>25043283.050000001</v>
      </c>
      <c r="M187" s="302">
        <f>ВС!M186+ЛП!M186</f>
        <v>523400675.38999999</v>
      </c>
      <c r="N187" s="302">
        <f>ВС!N186+ЛП!N186</f>
        <v>484699732.87</v>
      </c>
    </row>
    <row r="188" spans="1:14" x14ac:dyDescent="0.3">
      <c r="A188" s="298">
        <v>11994</v>
      </c>
      <c r="B188" s="299">
        <f>ВС!B187+ЛП!B187</f>
        <v>548443958.44000006</v>
      </c>
      <c r="C188" s="299">
        <f>ВС!C187+ЛП!C187</f>
        <v>25043283.050000001</v>
      </c>
      <c r="D188" s="299">
        <f>ВС!D187+ЛП!D187</f>
        <v>523400675.38999999</v>
      </c>
      <c r="E188" s="299">
        <f>ВС!E187+ЛП!E187</f>
        <v>6950564.9699999997</v>
      </c>
      <c r="F188" s="300">
        <f t="shared" si="51"/>
        <v>20</v>
      </c>
      <c r="G188" s="301">
        <f>ВС!G187+ЛП!G187</f>
        <v>1390113</v>
      </c>
      <c r="H188" s="302">
        <f>ВС!H187+ЛП!H187</f>
        <v>8340677.9699999997</v>
      </c>
      <c r="I188" s="302">
        <f>ВС!I187+ЛП!I187</f>
        <v>0</v>
      </c>
      <c r="J188" s="303" t="str">
        <f t="shared" si="71"/>
        <v>-</v>
      </c>
      <c r="K188" s="302">
        <f>ВС!K187+ЛП!K187</f>
        <v>548443958.44000006</v>
      </c>
      <c r="L188" s="302">
        <f>ВС!L187+ЛП!L187</f>
        <v>25043283.050000001</v>
      </c>
      <c r="M188" s="302">
        <f>ВС!M187+ЛП!M187</f>
        <v>523400675.38999999</v>
      </c>
      <c r="N188" s="302">
        <f>ВС!N187+ЛП!N187</f>
        <v>484699732.87</v>
      </c>
    </row>
    <row r="189" spans="1:14" ht="19.5" thickBot="1" x14ac:dyDescent="0.35">
      <c r="A189" s="285">
        <v>12024</v>
      </c>
      <c r="B189" s="286">
        <f>ВС!B188+ЛП!B188</f>
        <v>548443958.44000006</v>
      </c>
      <c r="C189" s="286">
        <f>ВС!C188+ЛП!C188</f>
        <v>25043283.050000001</v>
      </c>
      <c r="D189" s="286">
        <f>ВС!D188+ЛП!D188</f>
        <v>523400675.38999999</v>
      </c>
      <c r="E189" s="286">
        <f>ВС!E188+ЛП!E188</f>
        <v>6950564.9900000002</v>
      </c>
      <c r="F189" s="304">
        <f t="shared" si="51"/>
        <v>20</v>
      </c>
      <c r="G189" s="288">
        <f>ВС!G188+ЛП!G188</f>
        <v>1390113</v>
      </c>
      <c r="H189" s="289">
        <f>ВС!H188+ЛП!H188</f>
        <v>8340677.9900000002</v>
      </c>
      <c r="I189" s="289">
        <f>ВС!I188+ЛП!I188</f>
        <v>0</v>
      </c>
      <c r="J189" s="290" t="str">
        <f t="shared" si="71"/>
        <v>-</v>
      </c>
      <c r="K189" s="289">
        <f>ВС!K188+ЛП!K188</f>
        <v>548443958.44000006</v>
      </c>
      <c r="L189" s="289">
        <f>ВС!L188+ЛП!L188</f>
        <v>25043283.050000001</v>
      </c>
      <c r="M189" s="289">
        <f>ВС!M188+ЛП!M188</f>
        <v>523400675.38999999</v>
      </c>
      <c r="N189" s="289">
        <f>ВС!N188+ЛП!N188</f>
        <v>484699732.87</v>
      </c>
    </row>
    <row r="190" spans="1:14" s="306" customFormat="1" ht="19.5" thickBot="1" x14ac:dyDescent="0.35">
      <c r="A190" s="291">
        <f>A177+1</f>
        <v>2032</v>
      </c>
      <c r="B190" s="292">
        <f t="shared" ref="B190:D190" si="72">B178</f>
        <v>611438116.55999994</v>
      </c>
      <c r="C190" s="292">
        <f t="shared" si="72"/>
        <v>62994158.119999997</v>
      </c>
      <c r="D190" s="292">
        <f t="shared" si="72"/>
        <v>548443958.44000006</v>
      </c>
      <c r="E190" s="292">
        <f t="shared" ref="E190" si="73">SUM(E178:E189)</f>
        <v>83406779.659999996</v>
      </c>
      <c r="F190" s="305">
        <f t="shared" si="51"/>
        <v>20</v>
      </c>
      <c r="G190" s="294">
        <f t="shared" ref="G190:I190" si="74">SUM(G178:G189)</f>
        <v>16681356</v>
      </c>
      <c r="H190" s="295">
        <f t="shared" si="74"/>
        <v>100088135.66</v>
      </c>
      <c r="I190" s="295">
        <f t="shared" si="74"/>
        <v>97822881.439999998</v>
      </c>
      <c r="J190" s="296"/>
      <c r="K190" s="295">
        <f t="shared" ref="K190:N190" si="75">K189</f>
        <v>548443958.44000006</v>
      </c>
      <c r="L190" s="295">
        <f t="shared" si="75"/>
        <v>25043283.050000001</v>
      </c>
      <c r="M190" s="295">
        <f t="shared" si="75"/>
        <v>523400675.38999999</v>
      </c>
      <c r="N190" s="295">
        <f t="shared" si="75"/>
        <v>484699732.87</v>
      </c>
    </row>
    <row r="191" spans="1:14" x14ac:dyDescent="0.3">
      <c r="A191" s="298">
        <v>12055</v>
      </c>
      <c r="B191" s="280">
        <f>ВС!B190+ЛП!B190</f>
        <v>548443958.44000006</v>
      </c>
      <c r="C191" s="280">
        <f>ВС!C190+ЛП!C190</f>
        <v>25043283.050000001</v>
      </c>
      <c r="D191" s="280">
        <f>ВС!D190+ЛП!D190</f>
        <v>523400675.38999999</v>
      </c>
      <c r="E191" s="280">
        <f>ВС!E190+ЛП!E190</f>
        <v>3226849.3</v>
      </c>
      <c r="F191" s="297">
        <f t="shared" si="51"/>
        <v>20</v>
      </c>
      <c r="G191" s="282">
        <f>ВС!G190+ЛП!G190</f>
        <v>645369.86</v>
      </c>
      <c r="H191" s="283">
        <f>ВС!H190+ЛП!H190</f>
        <v>3872219.16</v>
      </c>
      <c r="I191" s="283">
        <f>ВС!I190+ЛП!I190</f>
        <v>25022033.93</v>
      </c>
      <c r="J191" s="284">
        <f t="shared" ref="J191:J202" si="76">IF(I191=0,"-",A191+19)</f>
        <v>12074</v>
      </c>
      <c r="K191" s="283">
        <f>ВС!K190+ЛП!K190</f>
        <v>532129105.33999997</v>
      </c>
      <c r="L191" s="283">
        <f>ВС!L190+ЛП!L190</f>
        <v>532129105.33999997</v>
      </c>
      <c r="M191" s="283">
        <f>ВС!M190+ЛП!M190</f>
        <v>0</v>
      </c>
      <c r="N191" s="283">
        <f>ВС!N190+ЛП!N190</f>
        <v>493406913.69999999</v>
      </c>
    </row>
    <row r="192" spans="1:14" x14ac:dyDescent="0.3">
      <c r="A192" s="298">
        <v>12086</v>
      </c>
      <c r="B192" s="299">
        <f>ВС!B191+ЛП!B191</f>
        <v>532129105.33999997</v>
      </c>
      <c r="C192" s="299">
        <f>ВС!C191+ЛП!C191</f>
        <v>532129105.33999997</v>
      </c>
      <c r="D192" s="299">
        <f>ВС!D191+ЛП!D191</f>
        <v>0</v>
      </c>
      <c r="E192" s="299">
        <f>ВС!E191+ЛП!E191</f>
        <v>3226849.3</v>
      </c>
      <c r="F192" s="300">
        <f t="shared" si="51"/>
        <v>20</v>
      </c>
      <c r="G192" s="301">
        <f>ВС!G191+ЛП!G191</f>
        <v>645369.86</v>
      </c>
      <c r="H192" s="302">
        <f>ВС!H191+ЛП!H191</f>
        <v>3872219.16</v>
      </c>
      <c r="I192" s="302">
        <f>ВС!I191+ЛП!I191</f>
        <v>0</v>
      </c>
      <c r="J192" s="303" t="str">
        <f t="shared" si="76"/>
        <v>-</v>
      </c>
      <c r="K192" s="302">
        <f>ВС!K191+ЛП!K191</f>
        <v>532129105.33999997</v>
      </c>
      <c r="L192" s="302">
        <f>ВС!L191+ЛП!L191</f>
        <v>532129105.33999997</v>
      </c>
      <c r="M192" s="302">
        <f>ВС!M191+ЛП!M191</f>
        <v>0</v>
      </c>
      <c r="N192" s="302">
        <f>ВС!N191+ЛП!N191</f>
        <v>493406913.69999999</v>
      </c>
    </row>
    <row r="193" spans="1:14" x14ac:dyDescent="0.3">
      <c r="A193" s="298">
        <v>12114</v>
      </c>
      <c r="B193" s="299">
        <f>ВС!B192+ЛП!B192</f>
        <v>532129105.33999997</v>
      </c>
      <c r="C193" s="299">
        <f>ВС!C192+ЛП!C192</f>
        <v>532129105.33999997</v>
      </c>
      <c r="D193" s="299">
        <f>ВС!D192+ЛП!D192</f>
        <v>0</v>
      </c>
      <c r="E193" s="299">
        <f>ВС!E192+ЛП!E192</f>
        <v>3226849.3</v>
      </c>
      <c r="F193" s="300">
        <f t="shared" si="51"/>
        <v>20</v>
      </c>
      <c r="G193" s="301">
        <f>ВС!G192+ЛП!G192</f>
        <v>645369.86</v>
      </c>
      <c r="H193" s="302">
        <f>ВС!H192+ЛП!H192</f>
        <v>3872219.16</v>
      </c>
      <c r="I193" s="302">
        <f>ВС!I192+ЛП!I192</f>
        <v>0</v>
      </c>
      <c r="J193" s="303" t="str">
        <f t="shared" si="76"/>
        <v>-</v>
      </c>
      <c r="K193" s="302">
        <f>ВС!K192+ЛП!K192</f>
        <v>532129105.33999997</v>
      </c>
      <c r="L193" s="302">
        <f>ВС!L192+ЛП!L192</f>
        <v>532129105.33999997</v>
      </c>
      <c r="M193" s="302">
        <f>ВС!M192+ЛП!M192</f>
        <v>0</v>
      </c>
      <c r="N193" s="302">
        <f>ВС!N192+ЛП!N192</f>
        <v>493406913.69999999</v>
      </c>
    </row>
    <row r="194" spans="1:14" x14ac:dyDescent="0.3">
      <c r="A194" s="298">
        <v>12145</v>
      </c>
      <c r="B194" s="299">
        <f>ВС!B193+ЛП!B193</f>
        <v>532129105.33999997</v>
      </c>
      <c r="C194" s="299">
        <f>ВС!C193+ЛП!C193</f>
        <v>532129105.33999997</v>
      </c>
      <c r="D194" s="299">
        <f>ВС!D193+ЛП!D193</f>
        <v>0</v>
      </c>
      <c r="E194" s="299">
        <f>ВС!E193+ЛП!E193</f>
        <v>3226849.3</v>
      </c>
      <c r="F194" s="300">
        <f t="shared" si="51"/>
        <v>20</v>
      </c>
      <c r="G194" s="301">
        <f>ВС!G193+ЛП!G193</f>
        <v>645369.86</v>
      </c>
      <c r="H194" s="302">
        <f>ВС!H193+ЛП!H193</f>
        <v>3872219.16</v>
      </c>
      <c r="I194" s="302">
        <f>ВС!I193+ЛП!I193</f>
        <v>11616657.48</v>
      </c>
      <c r="J194" s="303">
        <f t="shared" si="76"/>
        <v>12164</v>
      </c>
      <c r="K194" s="302">
        <f>ВС!K193+ЛП!K193</f>
        <v>529219628.69</v>
      </c>
      <c r="L194" s="302">
        <f>ВС!L193+ЛП!L193</f>
        <v>529219628.69</v>
      </c>
      <c r="M194" s="302">
        <f>ВС!M193+ЛП!M193</f>
        <v>0</v>
      </c>
      <c r="N194" s="302">
        <f>ВС!N193+ЛП!N193</f>
        <v>502114094.52999997</v>
      </c>
    </row>
    <row r="195" spans="1:14" x14ac:dyDescent="0.3">
      <c r="A195" s="298">
        <v>12175</v>
      </c>
      <c r="B195" s="299">
        <f>ВС!B194+ЛП!B194</f>
        <v>529219628.69</v>
      </c>
      <c r="C195" s="299">
        <f>ВС!C194+ЛП!C194</f>
        <v>529219628.69</v>
      </c>
      <c r="D195" s="299">
        <f>ВС!D194+ЛП!D194</f>
        <v>0</v>
      </c>
      <c r="E195" s="299">
        <f>ВС!E194+ЛП!E194</f>
        <v>3226849.3</v>
      </c>
      <c r="F195" s="300">
        <f t="shared" si="51"/>
        <v>20</v>
      </c>
      <c r="G195" s="301">
        <f>ВС!G194+ЛП!G194</f>
        <v>645369.86</v>
      </c>
      <c r="H195" s="302">
        <f>ВС!H194+ЛП!H194</f>
        <v>3872219.16</v>
      </c>
      <c r="I195" s="302">
        <f>ВС!I194+ЛП!I194</f>
        <v>0</v>
      </c>
      <c r="J195" s="303" t="str">
        <f t="shared" si="76"/>
        <v>-</v>
      </c>
      <c r="K195" s="302">
        <f>ВС!K194+ЛП!K194</f>
        <v>529219628.69</v>
      </c>
      <c r="L195" s="302">
        <f>ВС!L194+ЛП!L194</f>
        <v>529219628.69</v>
      </c>
      <c r="M195" s="302">
        <f>ВС!M194+ЛП!M194</f>
        <v>0</v>
      </c>
      <c r="N195" s="302">
        <f>ВС!N194+ЛП!N194</f>
        <v>502114094.52999997</v>
      </c>
    </row>
    <row r="196" spans="1:14" x14ac:dyDescent="0.3">
      <c r="A196" s="298">
        <v>12206</v>
      </c>
      <c r="B196" s="299">
        <f>ВС!B195+ЛП!B195</f>
        <v>529219628.69</v>
      </c>
      <c r="C196" s="299">
        <f>ВС!C195+ЛП!C195</f>
        <v>529219628.69</v>
      </c>
      <c r="D196" s="299">
        <f>ВС!D195+ЛП!D195</f>
        <v>0</v>
      </c>
      <c r="E196" s="299">
        <f>ВС!E195+ЛП!E195</f>
        <v>3226849.3</v>
      </c>
      <c r="F196" s="300">
        <f t="shared" si="51"/>
        <v>20</v>
      </c>
      <c r="G196" s="301">
        <f>ВС!G195+ЛП!G195</f>
        <v>645369.86</v>
      </c>
      <c r="H196" s="302">
        <f>ВС!H195+ЛП!H195</f>
        <v>3872219.16</v>
      </c>
      <c r="I196" s="302">
        <f>ВС!I195+ЛП!I195</f>
        <v>0</v>
      </c>
      <c r="J196" s="303" t="str">
        <f t="shared" si="76"/>
        <v>-</v>
      </c>
      <c r="K196" s="302">
        <f>ВС!K195+ЛП!K195</f>
        <v>529219628.69</v>
      </c>
      <c r="L196" s="302">
        <f>ВС!L195+ЛП!L195</f>
        <v>529219628.69</v>
      </c>
      <c r="M196" s="302">
        <f>ВС!M195+ЛП!M195</f>
        <v>0</v>
      </c>
      <c r="N196" s="302">
        <f>ВС!N195+ЛП!N195</f>
        <v>502114094.52999997</v>
      </c>
    </row>
    <row r="197" spans="1:14" x14ac:dyDescent="0.3">
      <c r="A197" s="298">
        <v>12236</v>
      </c>
      <c r="B197" s="299">
        <f>ВС!B196+ЛП!B196</f>
        <v>529219628.69</v>
      </c>
      <c r="C197" s="299">
        <f>ВС!C196+ЛП!C196</f>
        <v>529219628.69</v>
      </c>
      <c r="D197" s="299">
        <f>ВС!D196+ЛП!D196</f>
        <v>0</v>
      </c>
      <c r="E197" s="299">
        <f>ВС!E196+ЛП!E196</f>
        <v>3226849.3</v>
      </c>
      <c r="F197" s="300">
        <f t="shared" si="51"/>
        <v>20</v>
      </c>
      <c r="G197" s="301">
        <f>ВС!G196+ЛП!G196</f>
        <v>645369.86</v>
      </c>
      <c r="H197" s="302">
        <f>ВС!H196+ЛП!H196</f>
        <v>3872219.16</v>
      </c>
      <c r="I197" s="302">
        <f>ВС!I196+ЛП!I196</f>
        <v>11616657.48</v>
      </c>
      <c r="J197" s="303">
        <f t="shared" si="76"/>
        <v>12255</v>
      </c>
      <c r="K197" s="302">
        <f>ВС!K196+ЛП!K196</f>
        <v>526310152.04000002</v>
      </c>
      <c r="L197" s="302">
        <f>ВС!L196+ЛП!L196</f>
        <v>526310152.04000002</v>
      </c>
      <c r="M197" s="302">
        <f>ВС!M196+ЛП!M196</f>
        <v>0</v>
      </c>
      <c r="N197" s="302">
        <f>ВС!N196+ЛП!N196</f>
        <v>510821275.36000001</v>
      </c>
    </row>
    <row r="198" spans="1:14" x14ac:dyDescent="0.3">
      <c r="A198" s="298">
        <v>12267</v>
      </c>
      <c r="B198" s="299">
        <f>ВС!B197+ЛП!B197</f>
        <v>526310152.04000002</v>
      </c>
      <c r="C198" s="299">
        <f>ВС!C197+ЛП!C197</f>
        <v>526310152.04000002</v>
      </c>
      <c r="D198" s="299">
        <f>ВС!D197+ЛП!D197</f>
        <v>0</v>
      </c>
      <c r="E198" s="299">
        <f>ВС!E197+ЛП!E197</f>
        <v>3226849.3</v>
      </c>
      <c r="F198" s="300">
        <f t="shared" si="51"/>
        <v>20</v>
      </c>
      <c r="G198" s="301">
        <f>ВС!G197+ЛП!G197</f>
        <v>645369.86</v>
      </c>
      <c r="H198" s="302">
        <f>ВС!H197+ЛП!H197</f>
        <v>3872219.16</v>
      </c>
      <c r="I198" s="302">
        <f>ВС!I197+ЛП!I197</f>
        <v>0</v>
      </c>
      <c r="J198" s="303" t="str">
        <f t="shared" si="76"/>
        <v>-</v>
      </c>
      <c r="K198" s="302">
        <f>ВС!K197+ЛП!K197</f>
        <v>526310152.04000002</v>
      </c>
      <c r="L198" s="302">
        <f>ВС!L197+ЛП!L197</f>
        <v>526310152.04000002</v>
      </c>
      <c r="M198" s="302">
        <f>ВС!M197+ЛП!M197</f>
        <v>0</v>
      </c>
      <c r="N198" s="302">
        <f>ВС!N197+ЛП!N197</f>
        <v>510821275.36000001</v>
      </c>
    </row>
    <row r="199" spans="1:14" x14ac:dyDescent="0.3">
      <c r="A199" s="298">
        <v>12298</v>
      </c>
      <c r="B199" s="299">
        <f>ВС!B198+ЛП!B198</f>
        <v>526310152.04000002</v>
      </c>
      <c r="C199" s="299">
        <f>ВС!C198+ЛП!C198</f>
        <v>526310152.04000002</v>
      </c>
      <c r="D199" s="299">
        <f>ВС!D198+ЛП!D198</f>
        <v>0</v>
      </c>
      <c r="E199" s="299">
        <f>ВС!E198+ЛП!E198</f>
        <v>3226849.3</v>
      </c>
      <c r="F199" s="300">
        <f t="shared" ref="F199:F206" si="77">G199/E199*100</f>
        <v>20</v>
      </c>
      <c r="G199" s="301">
        <f>ВС!G198+ЛП!G198</f>
        <v>645369.86</v>
      </c>
      <c r="H199" s="302">
        <f>ВС!H198+ЛП!H198</f>
        <v>3872219.16</v>
      </c>
      <c r="I199" s="302">
        <f>ВС!I198+ЛП!I198</f>
        <v>0</v>
      </c>
      <c r="J199" s="303" t="str">
        <f t="shared" si="76"/>
        <v>-</v>
      </c>
      <c r="K199" s="302">
        <f>ВС!K198+ЛП!K198</f>
        <v>526310152.04000002</v>
      </c>
      <c r="L199" s="302">
        <f>ВС!L198+ЛП!L198</f>
        <v>526310152.04000002</v>
      </c>
      <c r="M199" s="302">
        <f>ВС!M198+ЛП!M198</f>
        <v>0</v>
      </c>
      <c r="N199" s="302">
        <f>ВС!N198+ЛП!N198</f>
        <v>510821275.36000001</v>
      </c>
    </row>
    <row r="200" spans="1:14" x14ac:dyDescent="0.3">
      <c r="A200" s="298">
        <v>12328</v>
      </c>
      <c r="B200" s="299">
        <f>ВС!B199+ЛП!B199</f>
        <v>526310152.04000002</v>
      </c>
      <c r="C200" s="299">
        <f>ВС!C199+ЛП!C199</f>
        <v>526310152.04000002</v>
      </c>
      <c r="D200" s="299">
        <f>ВС!D199+ЛП!D199</f>
        <v>0</v>
      </c>
      <c r="E200" s="299">
        <f>ВС!E199+ЛП!E199</f>
        <v>3226849.34</v>
      </c>
      <c r="F200" s="300">
        <f t="shared" si="77"/>
        <v>20</v>
      </c>
      <c r="G200" s="301">
        <f>ВС!G199+ЛП!G199</f>
        <v>645369.86</v>
      </c>
      <c r="H200" s="302">
        <f>ВС!H199+ЛП!H199</f>
        <v>3872219.2</v>
      </c>
      <c r="I200" s="302">
        <f>ВС!I199+ЛП!I199</f>
        <v>11616657.48</v>
      </c>
      <c r="J200" s="303">
        <f t="shared" si="76"/>
        <v>12347</v>
      </c>
      <c r="K200" s="302">
        <f>ВС!K199+ЛП!K199</f>
        <v>523400675.38999999</v>
      </c>
      <c r="L200" s="302">
        <f>ВС!L199+ЛП!L199</f>
        <v>523400675.38999999</v>
      </c>
      <c r="M200" s="302">
        <f>ВС!M199+ЛП!M199</f>
        <v>0</v>
      </c>
      <c r="N200" s="302">
        <f>ВС!N199+ЛП!N199</f>
        <v>519528456.19</v>
      </c>
    </row>
    <row r="201" spans="1:14" x14ac:dyDescent="0.3">
      <c r="A201" s="298">
        <v>12359</v>
      </c>
      <c r="B201" s="299">
        <f>ВС!B200+ЛП!B200</f>
        <v>523400675.38999999</v>
      </c>
      <c r="C201" s="299">
        <f>ВС!C200+ЛП!C200</f>
        <v>523400675.38999999</v>
      </c>
      <c r="D201" s="299">
        <f>ВС!D200+ЛП!D200</f>
        <v>0</v>
      </c>
      <c r="E201" s="299">
        <f>ВС!E200+ЛП!E200</f>
        <v>0</v>
      </c>
      <c r="F201" s="300">
        <f>F200</f>
        <v>20</v>
      </c>
      <c r="G201" s="301">
        <f>ВС!G200+ЛП!G200</f>
        <v>0</v>
      </c>
      <c r="H201" s="302">
        <f>ВС!H200+ЛП!H200</f>
        <v>0</v>
      </c>
      <c r="I201" s="302">
        <f>ВС!I200+ЛП!I200</f>
        <v>0</v>
      </c>
      <c r="J201" s="303" t="str">
        <f t="shared" si="76"/>
        <v>-</v>
      </c>
      <c r="K201" s="302">
        <f>ВС!K200+ЛП!K200</f>
        <v>523400675.38999999</v>
      </c>
      <c r="L201" s="302">
        <f>ВС!L200+ЛП!L200</f>
        <v>523400675.38999999</v>
      </c>
      <c r="M201" s="302">
        <f>ВС!M200+ЛП!M200</f>
        <v>0</v>
      </c>
      <c r="N201" s="302">
        <f>ВС!N200+ЛП!N200</f>
        <v>519528456.19</v>
      </c>
    </row>
    <row r="202" spans="1:14" ht="19.5" thickBot="1" x14ac:dyDescent="0.35">
      <c r="A202" s="298">
        <v>12389</v>
      </c>
      <c r="B202" s="286">
        <f>ВС!B201+ЛП!B201</f>
        <v>523400675.38999999</v>
      </c>
      <c r="C202" s="286">
        <f>ВС!C201+ЛП!C201</f>
        <v>523400675.38999999</v>
      </c>
      <c r="D202" s="286">
        <f>ВС!D201+ЛП!D201</f>
        <v>0</v>
      </c>
      <c r="E202" s="286">
        <f>ВС!E201+ЛП!E201</f>
        <v>0</v>
      </c>
      <c r="F202" s="300">
        <f>F201</f>
        <v>20</v>
      </c>
      <c r="G202" s="288">
        <f>ВС!G201+ЛП!G201</f>
        <v>0</v>
      </c>
      <c r="H202" s="289">
        <f>ВС!H201+ЛП!H201</f>
        <v>0</v>
      </c>
      <c r="I202" s="289">
        <f>ВС!I201+ЛП!I201</f>
        <v>0</v>
      </c>
      <c r="J202" s="290" t="str">
        <f t="shared" si="76"/>
        <v>-</v>
      </c>
      <c r="K202" s="289">
        <f>ВС!K201+ЛП!K201</f>
        <v>523400675.38999999</v>
      </c>
      <c r="L202" s="289">
        <f>ВС!L201+ЛП!L201</f>
        <v>523400675.38999999</v>
      </c>
      <c r="M202" s="289">
        <f>ВС!M201+ЛП!M201</f>
        <v>0</v>
      </c>
      <c r="N202" s="289">
        <f>ВС!N201+ЛП!N201</f>
        <v>519528456.19</v>
      </c>
    </row>
    <row r="203" spans="1:14" s="306" customFormat="1" ht="19.5" thickBot="1" x14ac:dyDescent="0.35">
      <c r="A203" s="291">
        <f>A190+1</f>
        <v>2033</v>
      </c>
      <c r="B203" s="292">
        <f t="shared" ref="B203" si="78">B191</f>
        <v>548443958.44000006</v>
      </c>
      <c r="C203" s="292">
        <f t="shared" ref="C203" si="79">B203-D203</f>
        <v>25043283.050000001</v>
      </c>
      <c r="D203" s="292">
        <f>D191</f>
        <v>523400675.38999999</v>
      </c>
      <c r="E203" s="292">
        <f>SUM(E191:E200)</f>
        <v>32268493.039999999</v>
      </c>
      <c r="F203" s="305">
        <f t="shared" si="77"/>
        <v>20</v>
      </c>
      <c r="G203" s="294">
        <f t="shared" ref="G203:I203" si="80">SUM(G191:G202)</f>
        <v>6453698.5999999996</v>
      </c>
      <c r="H203" s="295">
        <f t="shared" si="80"/>
        <v>38722191.640000001</v>
      </c>
      <c r="I203" s="295">
        <f t="shared" si="80"/>
        <v>59872006.369999997</v>
      </c>
      <c r="J203" s="296"/>
      <c r="K203" s="295">
        <f t="shared" ref="K203:N203" si="81">K202</f>
        <v>523400675.38999999</v>
      </c>
      <c r="L203" s="295">
        <f t="shared" si="81"/>
        <v>523400675.38999999</v>
      </c>
      <c r="M203" s="295">
        <f t="shared" si="81"/>
        <v>0</v>
      </c>
      <c r="N203" s="295">
        <f t="shared" si="81"/>
        <v>519528456.19</v>
      </c>
    </row>
    <row r="204" spans="1:14" ht="19.5" thickBot="1" x14ac:dyDescent="0.35">
      <c r="A204" s="298">
        <v>48945</v>
      </c>
      <c r="B204" s="299">
        <f>ВС!B203+ЛП!B203</f>
        <v>523400675.38999999</v>
      </c>
      <c r="C204" s="299">
        <f>ВС!C203+ЛП!C203</f>
        <v>523400675.38999999</v>
      </c>
      <c r="D204" s="299">
        <f>ВС!D203+ЛП!D203</f>
        <v>0</v>
      </c>
      <c r="E204" s="299">
        <f>ВС!E203+ЛП!E203</f>
        <v>0</v>
      </c>
      <c r="F204" s="300">
        <f>F202</f>
        <v>20</v>
      </c>
      <c r="G204" s="301">
        <f>ВС!G203+ЛП!G203</f>
        <v>0</v>
      </c>
      <c r="H204" s="302">
        <f>ВС!H203+ЛП!H203</f>
        <v>0</v>
      </c>
      <c r="I204" s="302">
        <f>ВС!I203+ЛП!I203</f>
        <v>3872219.2</v>
      </c>
      <c r="J204" s="303">
        <f>IF(I204=0,"-",A204+19)</f>
        <v>48964</v>
      </c>
      <c r="K204" s="302">
        <f>ВС!K203+ЛП!K203</f>
        <v>0</v>
      </c>
      <c r="L204" s="302">
        <f>ВС!L203+ЛП!L203</f>
        <v>0</v>
      </c>
      <c r="M204" s="302">
        <f>ВС!M203+ЛП!M203</f>
        <v>0</v>
      </c>
      <c r="N204" s="302">
        <f>ВС!N203+ЛП!N203</f>
        <v>0</v>
      </c>
    </row>
    <row r="205" spans="1:14" s="306" customFormat="1" ht="19.5" thickBot="1" x14ac:dyDescent="0.35">
      <c r="A205" s="291">
        <v>2034</v>
      </c>
      <c r="B205" s="292">
        <f>B204</f>
        <v>523400675.38999999</v>
      </c>
      <c r="C205" s="292">
        <f>C204</f>
        <v>523400675.38999999</v>
      </c>
      <c r="D205" s="292">
        <f>D204</f>
        <v>0</v>
      </c>
      <c r="E205" s="292">
        <v>0</v>
      </c>
      <c r="F205" s="305">
        <f>F204</f>
        <v>20</v>
      </c>
      <c r="G205" s="294">
        <v>0</v>
      </c>
      <c r="H205" s="295">
        <v>0</v>
      </c>
      <c r="I205" s="295">
        <f>SUM(I204)</f>
        <v>3872219.2</v>
      </c>
      <c r="J205" s="296"/>
      <c r="K205" s="295">
        <f t="shared" ref="K205:N205" si="82">K204</f>
        <v>0</v>
      </c>
      <c r="L205" s="295">
        <f t="shared" si="82"/>
        <v>0</v>
      </c>
      <c r="M205" s="295">
        <f t="shared" si="82"/>
        <v>0</v>
      </c>
      <c r="N205" s="295">
        <f t="shared" si="82"/>
        <v>0</v>
      </c>
    </row>
    <row r="206" spans="1:14" ht="19.5" thickBot="1" x14ac:dyDescent="0.35">
      <c r="A206" s="291" t="s">
        <v>7</v>
      </c>
      <c r="B206" s="292">
        <f>B6</f>
        <v>1090090926.3199999</v>
      </c>
      <c r="C206" s="292">
        <f t="shared" ref="C206:D206" si="83">C6</f>
        <v>18398336.66</v>
      </c>
      <c r="D206" s="292">
        <f t="shared" si="83"/>
        <v>1071692589.66</v>
      </c>
      <c r="E206" s="292">
        <f>E203+E190+E177+E164+E151+E138+E125+E112+E99+E86+E73+E60+E47+E34+E21+E8+E205</f>
        <v>908448000</v>
      </c>
      <c r="F206" s="293">
        <f t="shared" si="77"/>
        <v>19.989999999999998</v>
      </c>
      <c r="G206" s="294">
        <f t="shared" ref="G206:H206" si="84">G203+G190+G177+G164+G151+G138+G125+G112+G99+G86+G73+G60+G47+G34+G21+G8+G205</f>
        <v>181642926.31999999</v>
      </c>
      <c r="H206" s="295">
        <f t="shared" si="84"/>
        <v>1090090926.3199999</v>
      </c>
      <c r="I206" s="295">
        <f>I203+I190+I177+I164+I151+I138+I125+I112+I99+I86+I73+I60+I47+I34+I21+I8+I205</f>
        <v>1090090926.3199999</v>
      </c>
      <c r="J206" s="296"/>
      <c r="K206" s="295">
        <f>B206-I206</f>
        <v>0</v>
      </c>
      <c r="L206" s="295">
        <v>0</v>
      </c>
      <c r="M206" s="295">
        <f>L206</f>
        <v>0</v>
      </c>
      <c r="N206" s="295">
        <v>0</v>
      </c>
    </row>
    <row r="207" spans="1:14" hidden="1" x14ac:dyDescent="0.3">
      <c r="E207" s="254">
        <f>Лист2!E5</f>
        <v>435359041.52999997</v>
      </c>
    </row>
    <row r="208" spans="1:14" hidden="1" x14ac:dyDescent="0.3">
      <c r="E208" s="254">
        <f>E206-E207</f>
        <v>473088958.47000003</v>
      </c>
    </row>
    <row r="210" spans="1:14" ht="56.25" customHeight="1" x14ac:dyDescent="0.3"/>
    <row r="211" spans="1:14" x14ac:dyDescent="0.3">
      <c r="A211" s="250" t="s">
        <v>52</v>
      </c>
      <c r="N211" s="254" t="s">
        <v>53</v>
      </c>
    </row>
    <row r="212" spans="1:14" x14ac:dyDescent="0.3">
      <c r="A212" s="251"/>
      <c r="H212" s="254">
        <v>18122286.32</v>
      </c>
    </row>
    <row r="213" spans="1:14" x14ac:dyDescent="0.3">
      <c r="H213" s="254">
        <f>H206-H212</f>
        <v>1071968640</v>
      </c>
    </row>
    <row r="214" spans="1:14" x14ac:dyDescent="0.3">
      <c r="H214" s="254">
        <f>E206*1.18</f>
        <v>1071968640</v>
      </c>
    </row>
    <row r="215" spans="1:14" x14ac:dyDescent="0.3">
      <c r="H215" s="254">
        <v>22383852.09</v>
      </c>
    </row>
    <row r="216" spans="1:14" x14ac:dyDescent="0.3">
      <c r="H216" s="254">
        <f>H206-H215</f>
        <v>1067707074.23</v>
      </c>
    </row>
  </sheetData>
  <mergeCells count="7">
    <mergeCell ref="N4:N5"/>
    <mergeCell ref="A4:A5"/>
    <mergeCell ref="B4:D4"/>
    <mergeCell ref="E4:H4"/>
    <mergeCell ref="I4:I5"/>
    <mergeCell ref="K4:M4"/>
    <mergeCell ref="J4:J5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29095-05DD-4FD5-8909-DD5CC5CAF07C}">
  <dimension ref="A1:C63"/>
  <sheetViews>
    <sheetView workbookViewId="0">
      <pane xSplit="3" ySplit="2" topLeftCell="D3" activePane="bottomRight" state="frozen"/>
      <selection activeCell="H7" sqref="H7:H9"/>
      <selection pane="topRight" activeCell="H7" sqref="H7:H9"/>
      <selection pane="bottomLeft" activeCell="H7" sqref="H7:H9"/>
      <selection pane="bottomRight" activeCell="H7" sqref="H7:H9"/>
    </sheetView>
  </sheetViews>
  <sheetFormatPr defaultRowHeight="18" x14ac:dyDescent="0.25"/>
  <cols>
    <col min="1" max="3" width="21" style="219" customWidth="1"/>
  </cols>
  <sheetData>
    <row r="1" spans="1:3" s="118" customFormat="1" ht="23.25" x14ac:dyDescent="0.35">
      <c r="A1" s="249" t="s">
        <v>159</v>
      </c>
      <c r="B1" s="249"/>
      <c r="C1" s="249"/>
    </row>
    <row r="2" spans="1:3" s="224" customFormat="1" x14ac:dyDescent="0.25">
      <c r="A2" s="223" t="s">
        <v>155</v>
      </c>
      <c r="B2" s="223" t="s">
        <v>156</v>
      </c>
      <c r="C2" s="223" t="s">
        <v>157</v>
      </c>
    </row>
    <row r="3" spans="1:3" x14ac:dyDescent="0.25">
      <c r="A3" s="220" t="s">
        <v>158</v>
      </c>
      <c r="B3" s="221">
        <v>43485</v>
      </c>
      <c r="C3" s="222">
        <f>СВОД!I9</f>
        <v>8558564.6400000006</v>
      </c>
    </row>
    <row r="4" spans="1:3" x14ac:dyDescent="0.25">
      <c r="A4" s="220" t="s">
        <v>99</v>
      </c>
      <c r="B4" s="221">
        <f>СВОД!A12</f>
        <v>43556</v>
      </c>
      <c r="C4" s="222">
        <f>СВОД!I12</f>
        <v>13922033.91</v>
      </c>
    </row>
    <row r="5" spans="1:3" x14ac:dyDescent="0.25">
      <c r="A5" s="220" t="s">
        <v>100</v>
      </c>
      <c r="B5" s="221">
        <f>СВОД!A15</f>
        <v>43647</v>
      </c>
      <c r="C5" s="222">
        <f>СВОД!I15</f>
        <v>13922033.91</v>
      </c>
    </row>
    <row r="6" spans="1:3" x14ac:dyDescent="0.25">
      <c r="A6" s="220" t="s">
        <v>101</v>
      </c>
      <c r="B6" s="221">
        <f>СВОД!A18</f>
        <v>43739</v>
      </c>
      <c r="C6" s="222">
        <f>СВОД!I18</f>
        <v>13922033.91</v>
      </c>
    </row>
    <row r="7" spans="1:3" x14ac:dyDescent="0.25">
      <c r="A7" s="220" t="s">
        <v>102</v>
      </c>
      <c r="B7" s="221">
        <f>СВОД!A22</f>
        <v>43831</v>
      </c>
      <c r="C7" s="222">
        <f>СВОД!I22</f>
        <v>13922033.890000001</v>
      </c>
    </row>
    <row r="8" spans="1:3" x14ac:dyDescent="0.25">
      <c r="A8" s="220" t="s">
        <v>103</v>
      </c>
      <c r="B8" s="221">
        <f>СВОД!A25</f>
        <v>43922</v>
      </c>
      <c r="C8" s="222">
        <f>СВОД!I25</f>
        <v>14560169.52</v>
      </c>
    </row>
    <row r="9" spans="1:3" x14ac:dyDescent="0.25">
      <c r="A9" s="220" t="s">
        <v>104</v>
      </c>
      <c r="B9" s="221">
        <f>СВОД!A28</f>
        <v>44013</v>
      </c>
      <c r="C9" s="222">
        <f>СВОД!I28</f>
        <v>14560169.52</v>
      </c>
    </row>
    <row r="10" spans="1:3" x14ac:dyDescent="0.25">
      <c r="A10" s="220" t="s">
        <v>105</v>
      </c>
      <c r="B10" s="221">
        <f>СВОД!A31</f>
        <v>44105</v>
      </c>
      <c r="C10" s="222">
        <f>СВОД!I31</f>
        <v>14560169.52</v>
      </c>
    </row>
    <row r="11" spans="1:3" x14ac:dyDescent="0.25">
      <c r="A11" s="220" t="s">
        <v>106</v>
      </c>
      <c r="B11" s="221">
        <f>СВОД!A35</f>
        <v>44197</v>
      </c>
      <c r="C11" s="222">
        <f>СВОД!I35</f>
        <v>14560169.460000001</v>
      </c>
    </row>
    <row r="12" spans="1:3" x14ac:dyDescent="0.25">
      <c r="A12" s="220" t="s">
        <v>107</v>
      </c>
      <c r="B12" s="221">
        <f>СВОД!A38</f>
        <v>44287</v>
      </c>
      <c r="C12" s="222">
        <f>СВОД!I38</f>
        <v>15213559.32</v>
      </c>
    </row>
    <row r="13" spans="1:3" x14ac:dyDescent="0.25">
      <c r="A13" s="220" t="s">
        <v>108</v>
      </c>
      <c r="B13" s="221">
        <f>СВОД!A41</f>
        <v>44378</v>
      </c>
      <c r="C13" s="222">
        <f>СВОД!I41</f>
        <v>15213559.32</v>
      </c>
    </row>
    <row r="14" spans="1:3" x14ac:dyDescent="0.25">
      <c r="A14" s="220" t="s">
        <v>109</v>
      </c>
      <c r="B14" s="221">
        <f>СВОД!A44</f>
        <v>44470</v>
      </c>
      <c r="C14" s="222">
        <f>СВОД!I44</f>
        <v>15213559.32</v>
      </c>
    </row>
    <row r="15" spans="1:3" x14ac:dyDescent="0.25">
      <c r="A15" s="220" t="s">
        <v>110</v>
      </c>
      <c r="B15" s="221">
        <f>СВОД!A48</f>
        <v>44562</v>
      </c>
      <c r="C15" s="222">
        <f>СВОД!I48</f>
        <v>15213559.33</v>
      </c>
    </row>
    <row r="16" spans="1:3" x14ac:dyDescent="0.25">
      <c r="A16" s="220" t="s">
        <v>111</v>
      </c>
      <c r="B16" s="221">
        <f>СВОД!A51</f>
        <v>44652</v>
      </c>
      <c r="C16" s="222">
        <f>СВОД!I51</f>
        <v>15882203.369999999</v>
      </c>
    </row>
    <row r="17" spans="1:3" x14ac:dyDescent="0.25">
      <c r="A17" s="220" t="s">
        <v>112</v>
      </c>
      <c r="B17" s="221">
        <f>СВОД!A54</f>
        <v>44743</v>
      </c>
      <c r="C17" s="222">
        <f>СВОД!I54</f>
        <v>15882203.369999999</v>
      </c>
    </row>
    <row r="18" spans="1:3" x14ac:dyDescent="0.25">
      <c r="A18" s="220" t="s">
        <v>113</v>
      </c>
      <c r="B18" s="221">
        <f>СВОД!A57</f>
        <v>44835</v>
      </c>
      <c r="C18" s="222">
        <f>СВОД!I57</f>
        <v>15882203.369999999</v>
      </c>
    </row>
    <row r="19" spans="1:3" x14ac:dyDescent="0.25">
      <c r="A19" s="220" t="s">
        <v>114</v>
      </c>
      <c r="B19" s="221">
        <f>СВОД!A61</f>
        <v>44927</v>
      </c>
      <c r="C19" s="222">
        <f>СВОД!I61</f>
        <v>15882203.43</v>
      </c>
    </row>
    <row r="20" spans="1:3" x14ac:dyDescent="0.25">
      <c r="A20" s="220" t="s">
        <v>115</v>
      </c>
      <c r="B20" s="221">
        <f>СВОД!A64</f>
        <v>45017</v>
      </c>
      <c r="C20" s="222">
        <f>СВОД!I64</f>
        <v>16568644.08</v>
      </c>
    </row>
    <row r="21" spans="1:3" x14ac:dyDescent="0.25">
      <c r="A21" s="220" t="s">
        <v>116</v>
      </c>
      <c r="B21" s="221">
        <f>СВОД!A67</f>
        <v>45108</v>
      </c>
      <c r="C21" s="222">
        <f>СВОД!I67</f>
        <v>16568644.08</v>
      </c>
    </row>
    <row r="22" spans="1:3" x14ac:dyDescent="0.25">
      <c r="A22" s="220" t="s">
        <v>117</v>
      </c>
      <c r="B22" s="221">
        <f>СВОД!A70</f>
        <v>45200</v>
      </c>
      <c r="C22" s="222">
        <f>СВОД!I70</f>
        <v>16568644.08</v>
      </c>
    </row>
    <row r="23" spans="1:3" x14ac:dyDescent="0.25">
      <c r="A23" s="220" t="s">
        <v>118</v>
      </c>
      <c r="B23" s="221">
        <f>СВОД!A74</f>
        <v>45292</v>
      </c>
      <c r="C23" s="222">
        <f>СВОД!I74</f>
        <v>16568644.08</v>
      </c>
    </row>
    <row r="24" spans="1:3" x14ac:dyDescent="0.25">
      <c r="A24" s="220" t="s">
        <v>119</v>
      </c>
      <c r="B24" s="221">
        <f>СВОД!A77</f>
        <v>45383</v>
      </c>
      <c r="C24" s="222">
        <f>СВОД!I77</f>
        <v>17270338.98</v>
      </c>
    </row>
    <row r="25" spans="1:3" x14ac:dyDescent="0.25">
      <c r="A25" s="220" t="s">
        <v>120</v>
      </c>
      <c r="B25" s="221">
        <f>СВОД!A80</f>
        <v>45474</v>
      </c>
      <c r="C25" s="222">
        <f>СВОД!I80</f>
        <v>17270338.98</v>
      </c>
    </row>
    <row r="26" spans="1:3" x14ac:dyDescent="0.25">
      <c r="A26" s="220" t="s">
        <v>121</v>
      </c>
      <c r="B26" s="221">
        <f>СВОД!A83</f>
        <v>45566</v>
      </c>
      <c r="C26" s="222">
        <f>СВОД!I83</f>
        <v>17270338.98</v>
      </c>
    </row>
    <row r="27" spans="1:3" x14ac:dyDescent="0.25">
      <c r="A27" s="220" t="s">
        <v>122</v>
      </c>
      <c r="B27" s="221">
        <f>СВОД!A87</f>
        <v>45658</v>
      </c>
      <c r="C27" s="222">
        <f>СВОД!I87</f>
        <v>17270339.039999999</v>
      </c>
    </row>
    <row r="28" spans="1:3" x14ac:dyDescent="0.25">
      <c r="A28" s="220" t="s">
        <v>123</v>
      </c>
      <c r="B28" s="221">
        <f>СВОД!A90</f>
        <v>45748</v>
      </c>
      <c r="C28" s="222">
        <f>СВОД!I90</f>
        <v>17994915.27</v>
      </c>
    </row>
    <row r="29" spans="1:3" x14ac:dyDescent="0.25">
      <c r="A29" s="220" t="s">
        <v>124</v>
      </c>
      <c r="B29" s="221">
        <f>СВОД!A93</f>
        <v>45839</v>
      </c>
      <c r="C29" s="222">
        <f>СВОД!I93</f>
        <v>17994915.27</v>
      </c>
    </row>
    <row r="30" spans="1:3" x14ac:dyDescent="0.25">
      <c r="A30" s="220" t="s">
        <v>125</v>
      </c>
      <c r="B30" s="221">
        <f>СВОД!A96</f>
        <v>45931</v>
      </c>
      <c r="C30" s="222">
        <f>СВОД!I96</f>
        <v>17994915.27</v>
      </c>
    </row>
    <row r="31" spans="1:3" x14ac:dyDescent="0.25">
      <c r="A31" s="220" t="s">
        <v>126</v>
      </c>
      <c r="B31" s="221">
        <f>СВОД!A100</f>
        <v>46023</v>
      </c>
      <c r="C31" s="222">
        <f>СВОД!I100</f>
        <v>17994915.280000001</v>
      </c>
    </row>
    <row r="32" spans="1:3" x14ac:dyDescent="0.25">
      <c r="A32" s="220" t="s">
        <v>127</v>
      </c>
      <c r="B32" s="221">
        <f>СВОД!A103</f>
        <v>46113</v>
      </c>
      <c r="C32" s="222">
        <f>СВОД!I103</f>
        <v>18737288.129999999</v>
      </c>
    </row>
    <row r="33" spans="1:3" x14ac:dyDescent="0.25">
      <c r="A33" s="220" t="s">
        <v>128</v>
      </c>
      <c r="B33" s="221">
        <f>СВОД!A106</f>
        <v>46204</v>
      </c>
      <c r="C33" s="222">
        <f>СВОД!I106</f>
        <v>18737288.129999999</v>
      </c>
    </row>
    <row r="34" spans="1:3" x14ac:dyDescent="0.25">
      <c r="A34" s="220" t="s">
        <v>129</v>
      </c>
      <c r="B34" s="221">
        <f>СВОД!A109</f>
        <v>46296</v>
      </c>
      <c r="C34" s="222">
        <f>СВОД!I109</f>
        <v>18737288.129999999</v>
      </c>
    </row>
    <row r="35" spans="1:3" x14ac:dyDescent="0.25">
      <c r="A35" s="220" t="s">
        <v>130</v>
      </c>
      <c r="B35" s="221">
        <f>СВОД!A113</f>
        <v>46388</v>
      </c>
      <c r="C35" s="222">
        <f>СВОД!I113</f>
        <v>18737288.129999999</v>
      </c>
    </row>
    <row r="36" spans="1:3" x14ac:dyDescent="0.25">
      <c r="A36" s="220" t="s">
        <v>131</v>
      </c>
      <c r="B36" s="221">
        <f>СВОД!A116</f>
        <v>46478</v>
      </c>
      <c r="C36" s="222">
        <f>СВОД!I116</f>
        <v>19500000.030000001</v>
      </c>
    </row>
    <row r="37" spans="1:3" x14ac:dyDescent="0.25">
      <c r="A37" s="220" t="s">
        <v>132</v>
      </c>
      <c r="B37" s="221">
        <f>СВОД!A119</f>
        <v>46569</v>
      </c>
      <c r="C37" s="222">
        <f>СВОД!I119</f>
        <v>19500000.030000001</v>
      </c>
    </row>
    <row r="38" spans="1:3" x14ac:dyDescent="0.25">
      <c r="A38" s="220" t="s">
        <v>133</v>
      </c>
      <c r="B38" s="221">
        <f>СВОД!A122</f>
        <v>46661</v>
      </c>
      <c r="C38" s="222">
        <f>СВОД!I122</f>
        <v>19500000.030000001</v>
      </c>
    </row>
    <row r="39" spans="1:3" x14ac:dyDescent="0.25">
      <c r="A39" s="220" t="s">
        <v>134</v>
      </c>
      <c r="B39" s="221">
        <f>СВОД!A126</f>
        <v>46753</v>
      </c>
      <c r="C39" s="222">
        <f>СВОД!I126</f>
        <v>19499999.98</v>
      </c>
    </row>
    <row r="40" spans="1:3" x14ac:dyDescent="0.25">
      <c r="A40" s="220" t="s">
        <v>135</v>
      </c>
      <c r="B40" s="221">
        <f>СВОД!A129</f>
        <v>46844</v>
      </c>
      <c r="C40" s="222">
        <f>СВОД!I129</f>
        <v>20280508.5</v>
      </c>
    </row>
    <row r="41" spans="1:3" x14ac:dyDescent="0.25">
      <c r="A41" s="220" t="s">
        <v>136</v>
      </c>
      <c r="B41" s="221">
        <f>СВОД!A132</f>
        <v>46935</v>
      </c>
      <c r="C41" s="222">
        <f>СВОД!I132</f>
        <v>20280508.5</v>
      </c>
    </row>
    <row r="42" spans="1:3" x14ac:dyDescent="0.25">
      <c r="A42" s="220" t="s">
        <v>137</v>
      </c>
      <c r="B42" s="221">
        <f>СВОД!A135</f>
        <v>47027</v>
      </c>
      <c r="C42" s="222">
        <f>СВОД!I135</f>
        <v>20280508.5</v>
      </c>
    </row>
    <row r="43" spans="1:3" x14ac:dyDescent="0.25">
      <c r="A43" s="220" t="s">
        <v>138</v>
      </c>
      <c r="B43" s="221">
        <f>СВОД!A139</f>
        <v>47119</v>
      </c>
      <c r="C43" s="222">
        <f>СВОД!I139</f>
        <v>20280508.449999999</v>
      </c>
    </row>
    <row r="44" spans="1:3" x14ac:dyDescent="0.25">
      <c r="A44" s="220" t="s">
        <v>135</v>
      </c>
      <c r="B44" s="221">
        <f>СВОД!A142</f>
        <v>47209</v>
      </c>
      <c r="C44" s="222">
        <f>СВОД!I142</f>
        <v>21083898.329999998</v>
      </c>
    </row>
    <row r="45" spans="1:3" x14ac:dyDescent="0.25">
      <c r="A45" s="220" t="s">
        <v>136</v>
      </c>
      <c r="B45" s="221">
        <f>СВОД!A145</f>
        <v>47300</v>
      </c>
      <c r="C45" s="222">
        <f>СВОД!I145</f>
        <v>21083898.329999998</v>
      </c>
    </row>
    <row r="46" spans="1:3" x14ac:dyDescent="0.25">
      <c r="A46" s="220" t="s">
        <v>137</v>
      </c>
      <c r="B46" s="221">
        <f>СВОД!A148</f>
        <v>47392</v>
      </c>
      <c r="C46" s="222">
        <f>СВОД!I148</f>
        <v>21083898.329999998</v>
      </c>
    </row>
    <row r="47" spans="1:3" x14ac:dyDescent="0.25">
      <c r="A47" s="220" t="s">
        <v>138</v>
      </c>
      <c r="B47" s="221">
        <f>СВОД!A152</f>
        <v>10959</v>
      </c>
      <c r="C47" s="222">
        <f>СВОД!I152</f>
        <v>21083898.300000001</v>
      </c>
    </row>
    <row r="48" spans="1:3" x14ac:dyDescent="0.25">
      <c r="A48" s="220" t="s">
        <v>139</v>
      </c>
      <c r="B48" s="221">
        <f>СВОД!A155</f>
        <v>11049</v>
      </c>
      <c r="C48" s="222">
        <f>СВОД!I155</f>
        <v>21910169.489999998</v>
      </c>
    </row>
    <row r="49" spans="1:3" x14ac:dyDescent="0.25">
      <c r="A49" s="220" t="s">
        <v>140</v>
      </c>
      <c r="B49" s="221">
        <f>СВОД!A158</f>
        <v>11140</v>
      </c>
      <c r="C49" s="222">
        <f>СВОД!I158</f>
        <v>21910169.489999998</v>
      </c>
    </row>
    <row r="50" spans="1:3" x14ac:dyDescent="0.25">
      <c r="A50" s="220" t="s">
        <v>141</v>
      </c>
      <c r="B50" s="221">
        <f>СВОД!A161</f>
        <v>11232</v>
      </c>
      <c r="C50" s="222">
        <f>СВОД!I161</f>
        <v>21910169.489999998</v>
      </c>
    </row>
    <row r="51" spans="1:3" x14ac:dyDescent="0.25">
      <c r="A51" s="220" t="s">
        <v>142</v>
      </c>
      <c r="B51" s="221">
        <f>СВОД!A165</f>
        <v>11324</v>
      </c>
      <c r="C51" s="222">
        <f>СВОД!I165</f>
        <v>21910169.530000001</v>
      </c>
    </row>
    <row r="52" spans="1:3" x14ac:dyDescent="0.25">
      <c r="A52" s="220" t="s">
        <v>143</v>
      </c>
      <c r="B52" s="221">
        <f>СВОД!A168</f>
        <v>11414</v>
      </c>
      <c r="C52" s="222">
        <f>СВОД!I168</f>
        <v>22756779.66</v>
      </c>
    </row>
    <row r="53" spans="1:3" x14ac:dyDescent="0.25">
      <c r="A53" s="220" t="s">
        <v>144</v>
      </c>
      <c r="B53" s="221">
        <f>СВОД!A171</f>
        <v>11505</v>
      </c>
      <c r="C53" s="222">
        <f>СВОД!I171</f>
        <v>22756779.66</v>
      </c>
    </row>
    <row r="54" spans="1:3" x14ac:dyDescent="0.25">
      <c r="A54" s="220" t="s">
        <v>145</v>
      </c>
      <c r="B54" s="221">
        <f>СВОД!A174</f>
        <v>11597</v>
      </c>
      <c r="C54" s="222">
        <f>СВОД!I174</f>
        <v>22756779.66</v>
      </c>
    </row>
    <row r="55" spans="1:3" x14ac:dyDescent="0.25">
      <c r="A55" s="220" t="s">
        <v>146</v>
      </c>
      <c r="B55" s="221">
        <f>СВОД!A178</f>
        <v>11689</v>
      </c>
      <c r="C55" s="222">
        <f>СВОД!I178</f>
        <v>22756779.710000001</v>
      </c>
    </row>
    <row r="56" spans="1:3" x14ac:dyDescent="0.25">
      <c r="A56" s="220" t="s">
        <v>147</v>
      </c>
      <c r="B56" s="221">
        <f>СВОД!A181</f>
        <v>11780</v>
      </c>
      <c r="C56" s="222">
        <f>СВОД!I181</f>
        <v>25022033.91</v>
      </c>
    </row>
    <row r="57" spans="1:3" x14ac:dyDescent="0.25">
      <c r="A57" s="220" t="s">
        <v>148</v>
      </c>
      <c r="B57" s="221">
        <f>СВОД!A184</f>
        <v>11871</v>
      </c>
      <c r="C57" s="222">
        <f>СВОД!I184</f>
        <v>25022033.91</v>
      </c>
    </row>
    <row r="58" spans="1:3" x14ac:dyDescent="0.25">
      <c r="A58" s="220" t="s">
        <v>149</v>
      </c>
      <c r="B58" s="221">
        <f>СВОД!A187</f>
        <v>11963</v>
      </c>
      <c r="C58" s="222">
        <f>СВОД!I187</f>
        <v>25022033.91</v>
      </c>
    </row>
    <row r="59" spans="1:3" x14ac:dyDescent="0.25">
      <c r="A59" s="220" t="s">
        <v>150</v>
      </c>
      <c r="B59" s="221">
        <f>СВОД!A191</f>
        <v>12055</v>
      </c>
      <c r="C59" s="222">
        <f>СВОД!I191</f>
        <v>25022033.93</v>
      </c>
    </row>
    <row r="60" spans="1:3" x14ac:dyDescent="0.25">
      <c r="A60" s="220" t="s">
        <v>151</v>
      </c>
      <c r="B60" s="221">
        <f>СВОД!A194</f>
        <v>12145</v>
      </c>
      <c r="C60" s="222">
        <f>СВОД!I194</f>
        <v>11616657.48</v>
      </c>
    </row>
    <row r="61" spans="1:3" x14ac:dyDescent="0.25">
      <c r="A61" s="220" t="s">
        <v>152</v>
      </c>
      <c r="B61" s="221">
        <f>СВОД!A197</f>
        <v>12236</v>
      </c>
      <c r="C61" s="222">
        <f>СВОД!I197</f>
        <v>11616657.48</v>
      </c>
    </row>
    <row r="62" spans="1:3" x14ac:dyDescent="0.25">
      <c r="A62" s="220" t="s">
        <v>153</v>
      </c>
      <c r="B62" s="221">
        <f>СВОД!A200</f>
        <v>12328</v>
      </c>
      <c r="C62" s="222">
        <f>СВОД!I200</f>
        <v>11616657.48</v>
      </c>
    </row>
    <row r="63" spans="1:3" x14ac:dyDescent="0.25">
      <c r="A63" s="220" t="s">
        <v>154</v>
      </c>
      <c r="B63" s="221">
        <f>СВОД!A204</f>
        <v>48945</v>
      </c>
      <c r="C63" s="222">
        <f>СВОД!I204</f>
        <v>3872219.2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Лист1</vt:lpstr>
      <vt:lpstr>Лист2</vt:lpstr>
      <vt:lpstr>Расчет по лизингу</vt:lpstr>
      <vt:lpstr>Лист4</vt:lpstr>
      <vt:lpstr>имущество</vt:lpstr>
      <vt:lpstr>ВС</vt:lpstr>
      <vt:lpstr>ЛП</vt:lpstr>
      <vt:lpstr>СВОД</vt:lpstr>
      <vt:lpstr>Лист3</vt:lpstr>
      <vt:lpstr>ВС!Заголовки_для_печати</vt:lpstr>
      <vt:lpstr>ЛП!Заголовки_для_печати</vt:lpstr>
      <vt:lpstr>'Расчет по лизингу'!Заголовки_для_печати</vt:lpstr>
      <vt:lpstr>СВОД!Заголовки_для_печати</vt:lpstr>
      <vt:lpstr>ВС!Область_печати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Скородумов</dc:creator>
  <cp:lastModifiedBy>Зуева Елена Викторовна</cp:lastModifiedBy>
  <cp:lastPrinted>2019-07-10T14:52:06Z</cp:lastPrinted>
  <dcterms:created xsi:type="dcterms:W3CDTF">2019-01-11T07:48:34Z</dcterms:created>
  <dcterms:modified xsi:type="dcterms:W3CDTF">2019-07-10T14:53:40Z</dcterms:modified>
</cp:coreProperties>
</file>