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6078C034-582B-4B0C-9939-2369AE305F23}"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1" hidden="1">'2. паспорт  ТП'!$A$21:$AB$23</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27" i="6" l="1"/>
  <c r="AE26" i="5" l="1"/>
  <c r="AD26" i="5"/>
  <c r="AB26" i="5"/>
  <c r="R26" i="5"/>
  <c r="B24" i="25"/>
  <c r="B87" i="25"/>
  <c r="K26" i="5"/>
  <c r="R27" i="14"/>
  <c r="S27" i="14" s="1"/>
  <c r="B27" i="25" l="1"/>
  <c r="J30" i="15" l="1"/>
  <c r="I30" i="15"/>
  <c r="H30" i="15"/>
  <c r="G30" i="15"/>
  <c r="F30" i="15"/>
  <c r="E30" i="15"/>
  <c r="D30" i="15"/>
  <c r="J24" i="15"/>
  <c r="I24" i="15"/>
  <c r="H24" i="15"/>
  <c r="G24" i="15"/>
  <c r="F24" i="15"/>
  <c r="E24" i="15"/>
  <c r="D24" i="15"/>
  <c r="H23" i="12"/>
  <c r="C40" i="7" s="1"/>
  <c r="J23" i="12"/>
  <c r="S23" i="12"/>
  <c r="E26" i="14"/>
  <c r="E25" i="14"/>
  <c r="N25" i="13"/>
  <c r="O25" i="13"/>
  <c r="G26" i="5" l="1"/>
  <c r="AC64" i="15"/>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D58" i="23"/>
  <c r="D74" i="23" s="1"/>
  <c r="C52" i="23"/>
  <c r="K137" i="23"/>
  <c r="F141" i="23"/>
  <c r="G141" i="23"/>
  <c r="G140" i="23"/>
  <c r="E141" i="23"/>
  <c r="E58" i="23" l="1"/>
  <c r="F58" i="23" s="1"/>
  <c r="F47" i="23" s="1"/>
  <c r="D47" i="23"/>
  <c r="D52" i="23"/>
  <c r="E47" i="23"/>
  <c r="E52" i="23"/>
  <c r="L137" i="23"/>
  <c r="E49" i="23"/>
  <c r="G58" i="23"/>
  <c r="F52" i="23"/>
  <c r="H140" i="23"/>
  <c r="H141" i="23"/>
  <c r="K30" i="15"/>
  <c r="K24" i="15"/>
  <c r="AC24" i="15"/>
  <c r="C30" i="15"/>
  <c r="C24" i="15"/>
  <c r="F74" i="23" l="1"/>
  <c r="E74" i="23"/>
  <c r="I140" i="23"/>
  <c r="I141" i="23"/>
  <c r="G74" i="23"/>
  <c r="G47" i="23"/>
  <c r="H58" i="23"/>
  <c r="G52" i="23"/>
  <c r="M137" i="23"/>
  <c r="F49" i="23"/>
  <c r="N137" i="23" l="1"/>
  <c r="G49" i="23"/>
  <c r="I58" i="23"/>
  <c r="H52" i="23"/>
  <c r="H47" i="23"/>
  <c r="H74" i="23"/>
  <c r="J141" i="23"/>
  <c r="B73" i="23" s="1"/>
  <c r="B85" i="23" s="1"/>
  <c r="J140" i="23"/>
  <c r="K141" i="23" l="1"/>
  <c r="C73" i="23" s="1"/>
  <c r="C85" i="23" s="1"/>
  <c r="C99" i="23" s="1"/>
  <c r="K140" i="23"/>
  <c r="I74" i="23"/>
  <c r="I52" i="23"/>
  <c r="J58" i="23"/>
  <c r="I47" i="23"/>
  <c r="O137" i="23"/>
  <c r="H49" i="23"/>
  <c r="P137" i="23" l="1"/>
  <c r="I49" i="23"/>
  <c r="J74" i="23"/>
  <c r="K58" i="23"/>
  <c r="J52" i="23"/>
  <c r="J47" i="23"/>
  <c r="L140" i="23"/>
  <c r="B96" i="25"/>
  <c r="B94" i="25"/>
  <c r="B88" i="25"/>
  <c r="K74" i="23" l="1"/>
  <c r="K47" i="23"/>
  <c r="K52" i="23"/>
  <c r="L58" i="23"/>
  <c r="M140" i="23"/>
  <c r="M141" i="23"/>
  <c r="E73" i="23" s="1"/>
  <c r="E85" i="23" s="1"/>
  <c r="E99" i="23" s="1"/>
  <c r="L141" i="23"/>
  <c r="D73" i="23" s="1"/>
  <c r="D85" i="23" s="1"/>
  <c r="D99" i="23" s="1"/>
  <c r="Q137" i="23"/>
  <c r="J49" i="23"/>
  <c r="R137" i="23" l="1"/>
  <c r="K49" i="23"/>
  <c r="L74" i="23"/>
  <c r="M58" i="23"/>
  <c r="L47" i="23"/>
  <c r="L52" i="23"/>
  <c r="N141" i="23"/>
  <c r="F73" i="23" s="1"/>
  <c r="F85" i="23" s="1"/>
  <c r="F99" i="23" s="1"/>
  <c r="N140" i="23"/>
  <c r="D117" i="23"/>
  <c r="D118" i="23" l="1"/>
  <c r="G118" i="23"/>
  <c r="S137" i="23"/>
  <c r="L49" i="23"/>
  <c r="O141" i="23"/>
  <c r="G73" i="23" s="1"/>
  <c r="G85" i="23" s="1"/>
  <c r="G99" i="23" s="1"/>
  <c r="O140" i="23"/>
  <c r="M74" i="23"/>
  <c r="N58" i="23"/>
  <c r="M52" i="23"/>
  <c r="M47" i="23"/>
  <c r="P25" i="13"/>
  <c r="Q27" i="14"/>
  <c r="I118" i="23" l="1"/>
  <c r="I120" i="23" s="1"/>
  <c r="C109" i="23" s="1"/>
  <c r="G120" i="23"/>
  <c r="O58" i="23"/>
  <c r="N52" i="23"/>
  <c r="N74" i="23"/>
  <c r="N47" i="23"/>
  <c r="T137" i="23"/>
  <c r="M49" i="23"/>
  <c r="P140" i="23"/>
  <c r="P141" i="23" s="1"/>
  <c r="H73" i="23" s="1"/>
  <c r="H85" i="23" s="1"/>
  <c r="H99" i="23" s="1"/>
  <c r="D109" i="23" l="1"/>
  <c r="C108" i="23"/>
  <c r="C50" i="23" s="1"/>
  <c r="C59" i="23" s="1"/>
  <c r="O74" i="23"/>
  <c r="O47" i="23"/>
  <c r="P58" i="23"/>
  <c r="O52" i="23"/>
  <c r="U137" i="23"/>
  <c r="N49" i="23"/>
  <c r="Q140" i="23"/>
  <c r="Q141" i="23"/>
  <c r="I73" i="23" s="1"/>
  <c r="I85" i="23" s="1"/>
  <c r="I99" i="23" s="1"/>
  <c r="AC52" i="15"/>
  <c r="D108" i="23" l="1"/>
  <c r="D50" i="23" s="1"/>
  <c r="D59" i="23" s="1"/>
  <c r="D80" i="23" s="1"/>
  <c r="E109" i="23"/>
  <c r="B126" i="23"/>
  <c r="V137" i="23"/>
  <c r="O49" i="23"/>
  <c r="R140" i="23"/>
  <c r="P74" i="23"/>
  <c r="P52" i="23"/>
  <c r="P47" i="23"/>
  <c r="Q58" i="23"/>
  <c r="B110" i="25"/>
  <c r="B49" i="25"/>
  <c r="B66" i="25"/>
  <c r="B32" i="25"/>
  <c r="AD43" i="5"/>
  <c r="B29" i="25" s="1"/>
  <c r="B22" i="25"/>
  <c r="A15" i="5"/>
  <c r="A12" i="5"/>
  <c r="A9" i="5"/>
  <c r="A5" i="5"/>
  <c r="B34" i="25" l="1"/>
  <c r="F109" i="23"/>
  <c r="E108" i="23"/>
  <c r="E50" i="23" s="1"/>
  <c r="E59" i="23" s="1"/>
  <c r="E80" i="23" s="1"/>
  <c r="B68" i="25"/>
  <c r="B81" i="23"/>
  <c r="B29" i="23"/>
  <c r="B50" i="23"/>
  <c r="B59" i="23" s="1"/>
  <c r="B25" i="23"/>
  <c r="W137" i="23"/>
  <c r="P49" i="23"/>
  <c r="S141" i="23"/>
  <c r="K73" i="23" s="1"/>
  <c r="K85" i="23" s="1"/>
  <c r="K99" i="23" s="1"/>
  <c r="S140" i="23"/>
  <c r="Q74" i="23"/>
  <c r="Q47" i="23"/>
  <c r="Q52" i="23"/>
  <c r="R58" i="23"/>
  <c r="R141" i="23"/>
  <c r="J73" i="23" s="1"/>
  <c r="J85" i="23" s="1"/>
  <c r="J99" i="23" s="1"/>
  <c r="B30" i="25"/>
  <c r="G109" i="23" l="1"/>
  <c r="F108" i="23"/>
  <c r="F50" i="23" s="1"/>
  <c r="F59" i="23" s="1"/>
  <c r="F80" i="23" s="1"/>
  <c r="C61" i="23"/>
  <c r="D61" i="23"/>
  <c r="D60" i="23" s="1"/>
  <c r="D66" i="23" s="1"/>
  <c r="E61" i="23"/>
  <c r="E60" i="23" s="1"/>
  <c r="E66" i="23" s="1"/>
  <c r="G61" i="23"/>
  <c r="G60" i="23" s="1"/>
  <c r="F61" i="23"/>
  <c r="F60" i="23" s="1"/>
  <c r="H61" i="23"/>
  <c r="H60" i="23" s="1"/>
  <c r="I61" i="23"/>
  <c r="I60" i="23" s="1"/>
  <c r="J61" i="23"/>
  <c r="J60" i="23" s="1"/>
  <c r="L61" i="23"/>
  <c r="L60" i="23" s="1"/>
  <c r="K61" i="23"/>
  <c r="K60" i="23" s="1"/>
  <c r="N61" i="23"/>
  <c r="N60" i="23" s="1"/>
  <c r="M61" i="23"/>
  <c r="M60" i="23" s="1"/>
  <c r="O61" i="23"/>
  <c r="O60" i="23" s="1"/>
  <c r="P61" i="23"/>
  <c r="P60" i="23" s="1"/>
  <c r="AQ81" i="23"/>
  <c r="B99" i="23"/>
  <c r="B54" i="23"/>
  <c r="C67" i="23"/>
  <c r="B79" i="23"/>
  <c r="B66" i="23"/>
  <c r="B68" i="23" s="1"/>
  <c r="B80" i="23"/>
  <c r="C80" i="23"/>
  <c r="Q61" i="23"/>
  <c r="Q60" i="23" s="1"/>
  <c r="X137" i="23"/>
  <c r="Q49" i="23"/>
  <c r="R74" i="23"/>
  <c r="S58" i="23"/>
  <c r="R52" i="23"/>
  <c r="R47" i="23"/>
  <c r="T140" i="23"/>
  <c r="T141" i="23"/>
  <c r="L73" i="23" s="1"/>
  <c r="L85" i="23" s="1"/>
  <c r="L99" i="23" s="1"/>
  <c r="A14" i="15"/>
  <c r="A11" i="15"/>
  <c r="A8" i="15"/>
  <c r="A4" i="15"/>
  <c r="F66" i="23" l="1"/>
  <c r="C79" i="23"/>
  <c r="D79" i="23" s="1"/>
  <c r="E79" i="23" s="1"/>
  <c r="F79" i="23" s="1"/>
  <c r="G108" i="23"/>
  <c r="G50" i="23" s="1"/>
  <c r="G59" i="23" s="1"/>
  <c r="G80" i="23" s="1"/>
  <c r="H109" i="23"/>
  <c r="B75" i="23"/>
  <c r="C76" i="23"/>
  <c r="D67" i="23"/>
  <c r="D68" i="23" s="1"/>
  <c r="F76" i="23"/>
  <c r="B55" i="23"/>
  <c r="B56" i="23" s="1"/>
  <c r="B69" i="23" s="1"/>
  <c r="B77" i="23" s="1"/>
  <c r="F68" i="23"/>
  <c r="C60" i="23"/>
  <c r="C66" i="23" s="1"/>
  <c r="C68" i="23" s="1"/>
  <c r="S74" i="23"/>
  <c r="T58" i="23"/>
  <c r="S52" i="23"/>
  <c r="S47" i="23"/>
  <c r="Y137" i="23"/>
  <c r="R49" i="23"/>
  <c r="U140" i="23"/>
  <c r="C49" i="7"/>
  <c r="B83" i="25"/>
  <c r="G66" i="23" l="1"/>
  <c r="I109" i="23"/>
  <c r="H108" i="23"/>
  <c r="H50" i="23" s="1"/>
  <c r="H59" i="23" s="1"/>
  <c r="B82" i="23"/>
  <c r="C53" i="23"/>
  <c r="C55" i="23" s="1"/>
  <c r="C56" i="23" s="1"/>
  <c r="C69" i="23" s="1"/>
  <c r="G79" i="23"/>
  <c r="C75" i="23"/>
  <c r="D75" i="23"/>
  <c r="E67" i="23"/>
  <c r="D76" i="23"/>
  <c r="F75" i="23"/>
  <c r="B70" i="23"/>
  <c r="B71" i="23" s="1"/>
  <c r="V140" i="23"/>
  <c r="R61" i="23"/>
  <c r="R60" i="23" s="1"/>
  <c r="Z137" i="23"/>
  <c r="S49" i="23"/>
  <c r="S61" i="23"/>
  <c r="S60" i="23" s="1"/>
  <c r="U58" i="23"/>
  <c r="T52" i="23"/>
  <c r="T74" i="23"/>
  <c r="T47" i="23"/>
  <c r="U141" i="23"/>
  <c r="M73" i="23" s="1"/>
  <c r="M85" i="23" s="1"/>
  <c r="M99" i="23" s="1"/>
  <c r="B46" i="25"/>
  <c r="B63" i="25"/>
  <c r="B51" i="25"/>
  <c r="B85" i="25"/>
  <c r="B90" i="25"/>
  <c r="B76" i="25"/>
  <c r="B72" i="25"/>
  <c r="B59" i="25"/>
  <c r="B42" i="25"/>
  <c r="B80" i="25"/>
  <c r="B55" i="25"/>
  <c r="B38" i="25"/>
  <c r="C48" i="7"/>
  <c r="H80" i="23" l="1"/>
  <c r="H66" i="23"/>
  <c r="J109" i="23"/>
  <c r="I108" i="23"/>
  <c r="I50" i="23" s="1"/>
  <c r="I59" i="23" s="1"/>
  <c r="C77" i="23"/>
  <c r="C70" i="23"/>
  <c r="B72" i="23"/>
  <c r="B78" i="23"/>
  <c r="B83" i="23" s="1"/>
  <c r="F67" i="23"/>
  <c r="G67" i="23" s="1"/>
  <c r="E76" i="23"/>
  <c r="E68" i="23"/>
  <c r="D53" i="23"/>
  <c r="C82" i="23"/>
  <c r="H79" i="23"/>
  <c r="W140" i="23"/>
  <c r="U74" i="23"/>
  <c r="V58" i="23"/>
  <c r="U52" i="23"/>
  <c r="U47" i="23"/>
  <c r="AA137" i="23"/>
  <c r="T49" i="23"/>
  <c r="V141" i="23"/>
  <c r="N73" i="23" s="1"/>
  <c r="N85" i="23" s="1"/>
  <c r="N99" i="23" s="1"/>
  <c r="J108" i="23" l="1"/>
  <c r="J50" i="23" s="1"/>
  <c r="J59" i="23" s="1"/>
  <c r="K109" i="23"/>
  <c r="I80" i="23"/>
  <c r="I66" i="23"/>
  <c r="I79" i="23"/>
  <c r="J79" i="23" s="1"/>
  <c r="E75" i="23"/>
  <c r="G76" i="23"/>
  <c r="H67" i="23"/>
  <c r="G68" i="23"/>
  <c r="C71" i="23"/>
  <c r="D55" i="23"/>
  <c r="D56" i="23" s="1"/>
  <c r="D69" i="23" s="1"/>
  <c r="B86" i="23"/>
  <c r="B84" i="23"/>
  <c r="B89" i="23" s="1"/>
  <c r="B88" i="23"/>
  <c r="W58" i="23"/>
  <c r="V52" i="23"/>
  <c r="V74" i="23"/>
  <c r="V47" i="23"/>
  <c r="X140" i="23"/>
  <c r="W141" i="23"/>
  <c r="O73" i="23" s="1"/>
  <c r="O85" i="23" s="1"/>
  <c r="O99" i="23" s="1"/>
  <c r="AB137" i="23"/>
  <c r="U49" i="23"/>
  <c r="T61" i="23"/>
  <c r="T60" i="23" s="1"/>
  <c r="J80" i="23" l="1"/>
  <c r="J66" i="23"/>
  <c r="L109" i="23"/>
  <c r="K108" i="23"/>
  <c r="K50" i="23" s="1"/>
  <c r="K59" i="23" s="1"/>
  <c r="D77" i="23"/>
  <c r="D70" i="23"/>
  <c r="D71" i="23" s="1"/>
  <c r="D72" i="23" s="1"/>
  <c r="B87" i="23"/>
  <c r="B90" i="23" s="1"/>
  <c r="C78" i="23"/>
  <c r="C83" i="23" s="1"/>
  <c r="G75" i="23"/>
  <c r="E53" i="23"/>
  <c r="D82" i="23"/>
  <c r="H76" i="23"/>
  <c r="I67" i="23"/>
  <c r="H68" i="23"/>
  <c r="C72" i="23"/>
  <c r="K79" i="23"/>
  <c r="W74" i="23"/>
  <c r="W47" i="23"/>
  <c r="W52" i="23"/>
  <c r="X58" i="23"/>
  <c r="AC137" i="23"/>
  <c r="V49" i="23"/>
  <c r="Y140" i="23"/>
  <c r="U61" i="23"/>
  <c r="U60" i="23" s="1"/>
  <c r="X141" i="23"/>
  <c r="P73" i="23" s="1"/>
  <c r="P85" i="23" s="1"/>
  <c r="P99" i="23" s="1"/>
  <c r="C23" i="6"/>
  <c r="A15" i="25"/>
  <c r="K80" i="23" l="1"/>
  <c r="K66" i="23"/>
  <c r="M109" i="23"/>
  <c r="L108" i="23"/>
  <c r="L50" i="23" s="1"/>
  <c r="L59" i="23" s="1"/>
  <c r="L79" i="23" s="1"/>
  <c r="H75" i="23"/>
  <c r="E55" i="23"/>
  <c r="E82" i="23" s="1"/>
  <c r="C86" i="23"/>
  <c r="C84" i="23"/>
  <c r="C89" i="23" s="1"/>
  <c r="C88" i="23"/>
  <c r="I76" i="23"/>
  <c r="J67" i="23"/>
  <c r="I68" i="23"/>
  <c r="D78" i="23"/>
  <c r="D83" i="23" s="1"/>
  <c r="AD137" i="23"/>
  <c r="W49" i="23"/>
  <c r="Z141" i="23"/>
  <c r="R73" i="23" s="1"/>
  <c r="R85" i="23" s="1"/>
  <c r="R99" i="23" s="1"/>
  <c r="Z140" i="23"/>
  <c r="Y141" i="23"/>
  <c r="Q73" i="23" s="1"/>
  <c r="Q85" i="23" s="1"/>
  <c r="Q99" i="23" s="1"/>
  <c r="X74" i="23"/>
  <c r="Y58" i="23"/>
  <c r="X52" i="23"/>
  <c r="X47" i="23"/>
  <c r="V61" i="23"/>
  <c r="V60" i="23" s="1"/>
  <c r="C50" i="7"/>
  <c r="C51" i="7"/>
  <c r="E56" i="23" l="1"/>
  <c r="E69" i="23" s="1"/>
  <c r="M108" i="23"/>
  <c r="M50" i="23" s="1"/>
  <c r="M59" i="23" s="1"/>
  <c r="N109" i="23"/>
  <c r="L80" i="23"/>
  <c r="L66" i="23"/>
  <c r="C87" i="23"/>
  <c r="C90" i="23" s="1"/>
  <c r="D86" i="23"/>
  <c r="D87" i="23" s="1"/>
  <c r="I75" i="23"/>
  <c r="D88" i="23"/>
  <c r="D84" i="23"/>
  <c r="D89" i="23" s="1"/>
  <c r="F53" i="23"/>
  <c r="E77" i="23"/>
  <c r="E70" i="23"/>
  <c r="E71" i="23" s="1"/>
  <c r="K67" i="23"/>
  <c r="J76" i="23"/>
  <c r="J68" i="23"/>
  <c r="Y74" i="23"/>
  <c r="Y47" i="23"/>
  <c r="Y52" i="23"/>
  <c r="Z58" i="23"/>
  <c r="X61" i="23"/>
  <c r="X60" i="23" s="1"/>
  <c r="AE137" i="23"/>
  <c r="X49" i="23"/>
  <c r="AA140" i="23"/>
  <c r="W61" i="23"/>
  <c r="W60" i="23" s="1"/>
  <c r="B21" i="25"/>
  <c r="A12" i="25"/>
  <c r="A9" i="25"/>
  <c r="B95" i="25"/>
  <c r="B93" i="25"/>
  <c r="D90" i="23" l="1"/>
  <c r="O109" i="23"/>
  <c r="N108" i="23"/>
  <c r="N50" i="23" s="1"/>
  <c r="N59" i="23" s="1"/>
  <c r="M80" i="23"/>
  <c r="M66" i="23"/>
  <c r="M79" i="23"/>
  <c r="F55" i="23"/>
  <c r="F56" i="23" s="1"/>
  <c r="F69" i="23" s="1"/>
  <c r="K76" i="23"/>
  <c r="L67" i="23"/>
  <c r="K68" i="23"/>
  <c r="E72" i="23"/>
  <c r="E78" i="23"/>
  <c r="E83" i="23" s="1"/>
  <c r="J75" i="23"/>
  <c r="AB140" i="23"/>
  <c r="AB141" i="23"/>
  <c r="T73" i="23" s="1"/>
  <c r="T85" i="23" s="1"/>
  <c r="T99" i="23" s="1"/>
  <c r="AF137" i="23"/>
  <c r="Y49" i="23"/>
  <c r="AA141" i="23"/>
  <c r="S73" i="23" s="1"/>
  <c r="S85" i="23" s="1"/>
  <c r="S99" i="23" s="1"/>
  <c r="Y61" i="23"/>
  <c r="Y60" i="23" s="1"/>
  <c r="Z74" i="23"/>
  <c r="AA58" i="23"/>
  <c r="Z52" i="23"/>
  <c r="Z47" i="23"/>
  <c r="A14" i="12"/>
  <c r="A15" i="13" s="1"/>
  <c r="E15" i="14" s="1"/>
  <c r="A15" i="6" s="1"/>
  <c r="A14" i="17" s="1"/>
  <c r="A15" i="10" s="1"/>
  <c r="A15" i="24" s="1"/>
  <c r="N80" i="23" l="1"/>
  <c r="N66" i="23"/>
  <c r="N79" i="23"/>
  <c r="O108" i="23"/>
  <c r="O50" i="23" s="1"/>
  <c r="O59" i="23" s="1"/>
  <c r="P109" i="23"/>
  <c r="F77" i="23"/>
  <c r="F70" i="23"/>
  <c r="F71" i="23" s="1"/>
  <c r="E86" i="23"/>
  <c r="E88" i="23"/>
  <c r="E84" i="23"/>
  <c r="E89" i="23" s="1"/>
  <c r="K75" i="23"/>
  <c r="G53" i="23"/>
  <c r="F82" i="23"/>
  <c r="M67" i="23"/>
  <c r="L76" i="23"/>
  <c r="L68" i="23"/>
  <c r="AA74" i="23"/>
  <c r="AA47" i="23"/>
  <c r="AB58" i="23"/>
  <c r="AA52" i="23"/>
  <c r="AC140" i="23"/>
  <c r="AC141" i="23"/>
  <c r="U73" i="23" s="1"/>
  <c r="U85" i="23" s="1"/>
  <c r="U99" i="23" s="1"/>
  <c r="AG137" i="23"/>
  <c r="Z49" i="23"/>
  <c r="A11" i="12"/>
  <c r="A12" i="13" s="1"/>
  <c r="A8" i="12"/>
  <c r="A9" i="13" s="1"/>
  <c r="E9" i="14" s="1"/>
  <c r="A9" i="6" s="1"/>
  <c r="A8" i="17" s="1"/>
  <c r="A9" i="10" s="1"/>
  <c r="A9" i="24" s="1"/>
  <c r="A4" i="12"/>
  <c r="O80" i="23" l="1"/>
  <c r="O66" i="23"/>
  <c r="O79" i="23"/>
  <c r="P108" i="23"/>
  <c r="P50" i="23" s="1"/>
  <c r="P59" i="23" s="1"/>
  <c r="Q109" i="23"/>
  <c r="G55" i="23"/>
  <c r="G82" i="23" s="1"/>
  <c r="H53" i="23"/>
  <c r="F72" i="23"/>
  <c r="F78" i="23"/>
  <c r="F83" i="23" s="1"/>
  <c r="L75" i="23"/>
  <c r="M76" i="23"/>
  <c r="N67" i="23"/>
  <c r="M68" i="23"/>
  <c r="E87" i="23"/>
  <c r="E90" i="23" s="1"/>
  <c r="Z61" i="23"/>
  <c r="Z60" i="23" s="1"/>
  <c r="AB47" i="23"/>
  <c r="AC58" i="23"/>
  <c r="AB52" i="23"/>
  <c r="AB74" i="23"/>
  <c r="AA61" i="23"/>
  <c r="AA60" i="23" s="1"/>
  <c r="AH137" i="23"/>
  <c r="AA49" i="23"/>
  <c r="AD140" i="23"/>
  <c r="AD141" i="23" s="1"/>
  <c r="V73" i="23" s="1"/>
  <c r="V85" i="23" s="1"/>
  <c r="V99" i="23" s="1"/>
  <c r="A5" i="13"/>
  <c r="A5" i="14" s="1"/>
  <c r="A5" i="6" s="1"/>
  <c r="A4" i="17" s="1"/>
  <c r="A5" i="10" s="1"/>
  <c r="A5" i="24" s="1"/>
  <c r="A5" i="25"/>
  <c r="G56" i="23" l="1"/>
  <c r="G69" i="23" s="1"/>
  <c r="P66" i="23"/>
  <c r="P80" i="23"/>
  <c r="P79" i="23"/>
  <c r="Q79" i="23" s="1"/>
  <c r="R109" i="23"/>
  <c r="Q108" i="23"/>
  <c r="Q50" i="23" s="1"/>
  <c r="Q59" i="23" s="1"/>
  <c r="O67" i="23"/>
  <c r="N76" i="23"/>
  <c r="N68" i="23"/>
  <c r="F86" i="23"/>
  <c r="F84" i="23"/>
  <c r="F89" i="23" s="1"/>
  <c r="F88" i="23"/>
  <c r="H55" i="23"/>
  <c r="H82" i="23" s="1"/>
  <c r="M75" i="23"/>
  <c r="G77" i="23"/>
  <c r="G70" i="23"/>
  <c r="AI137" i="23"/>
  <c r="AB49" i="23"/>
  <c r="AC74" i="23"/>
  <c r="AD58" i="23"/>
  <c r="AC52" i="23"/>
  <c r="AC47" i="23"/>
  <c r="AE140" i="23"/>
  <c r="AB61" i="23"/>
  <c r="AB60" i="23" s="1"/>
  <c r="E12" i="14"/>
  <c r="A12" i="6" s="1"/>
  <c r="A11" i="17" s="1"/>
  <c r="A12" i="10" s="1"/>
  <c r="A12" i="24" s="1"/>
  <c r="I53" i="23" l="1"/>
  <c r="Q66" i="23"/>
  <c r="Q80" i="23"/>
  <c r="S109" i="23"/>
  <c r="R108" i="23"/>
  <c r="R50" i="23" s="1"/>
  <c r="R59" i="23" s="1"/>
  <c r="H56" i="23"/>
  <c r="H69" i="23" s="1"/>
  <c r="H77" i="23" s="1"/>
  <c r="F87" i="23"/>
  <c r="F90" i="23" s="1"/>
  <c r="N75" i="23"/>
  <c r="G71" i="23"/>
  <c r="G72" i="23" s="1"/>
  <c r="I55" i="23"/>
  <c r="I82" i="23" s="1"/>
  <c r="P67" i="23"/>
  <c r="O68" i="23"/>
  <c r="O76" i="23"/>
  <c r="AF140" i="23"/>
  <c r="AF141" i="23"/>
  <c r="X73" i="23" s="1"/>
  <c r="X85" i="23" s="1"/>
  <c r="X99" i="23" s="1"/>
  <c r="AE141" i="23"/>
  <c r="W73" i="23" s="1"/>
  <c r="W85" i="23" s="1"/>
  <c r="W99" i="23" s="1"/>
  <c r="AE58" i="23"/>
  <c r="AD52" i="23"/>
  <c r="AD74" i="23"/>
  <c r="AD47" i="23"/>
  <c r="AJ137" i="23"/>
  <c r="AC49" i="23"/>
  <c r="AC61" i="23"/>
  <c r="AC6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R80" i="23"/>
  <c r="R66" i="23"/>
  <c r="T109" i="23"/>
  <c r="S108" i="23"/>
  <c r="S50" i="23" s="1"/>
  <c r="S59" i="23" s="1"/>
  <c r="R79" i="23"/>
  <c r="S79" i="23" s="1"/>
  <c r="Q67" i="23"/>
  <c r="P76" i="23"/>
  <c r="P68" i="23"/>
  <c r="J53" i="23"/>
  <c r="O75" i="23"/>
  <c r="I56" i="23"/>
  <c r="I69" i="23" s="1"/>
  <c r="G78" i="23"/>
  <c r="G83" i="23" s="1"/>
  <c r="AK137" i="23"/>
  <c r="AD49" i="23"/>
  <c r="AG140" i="23"/>
  <c r="AE74" i="23"/>
  <c r="AE47" i="23"/>
  <c r="AE52" i="23"/>
  <c r="AF58" i="23"/>
  <c r="S66" i="23" l="1"/>
  <c r="S80" i="23"/>
  <c r="H78" i="23"/>
  <c r="H83" i="23" s="1"/>
  <c r="H86" i="23" s="1"/>
  <c r="T108" i="23"/>
  <c r="T50" i="23" s="1"/>
  <c r="T59" i="23" s="1"/>
  <c r="U109" i="23"/>
  <c r="G86" i="23"/>
  <c r="G84" i="23"/>
  <c r="G89" i="23" s="1"/>
  <c r="G88" i="23"/>
  <c r="J55" i="23"/>
  <c r="P75" i="23"/>
  <c r="I77" i="23"/>
  <c r="I70" i="23"/>
  <c r="Q68" i="23"/>
  <c r="R67" i="23"/>
  <c r="Q76" i="23"/>
  <c r="AL137" i="23"/>
  <c r="AE49" i="23"/>
  <c r="AH140" i="23"/>
  <c r="AF74" i="23"/>
  <c r="AF52" i="23"/>
  <c r="AG58" i="23"/>
  <c r="AF47" i="23"/>
  <c r="AE61" i="23"/>
  <c r="AE60" i="23" s="1"/>
  <c r="AG141" i="23"/>
  <c r="Y73" i="23" s="1"/>
  <c r="Y85" i="23" s="1"/>
  <c r="Y99" i="23" s="1"/>
  <c r="AD61" i="23"/>
  <c r="AD60" i="23" s="1"/>
  <c r="H88" i="23" l="1"/>
  <c r="T80" i="23"/>
  <c r="T66" i="23"/>
  <c r="T79" i="23"/>
  <c r="H84" i="23"/>
  <c r="H89" i="23" s="1"/>
  <c r="V109" i="23"/>
  <c r="U108" i="23"/>
  <c r="U50" i="23" s="1"/>
  <c r="U59" i="23" s="1"/>
  <c r="H87" i="23"/>
  <c r="H90" i="23" s="1"/>
  <c r="Q75" i="23"/>
  <c r="R68" i="23"/>
  <c r="S67" i="23"/>
  <c r="R76" i="23"/>
  <c r="K53" i="23"/>
  <c r="J82" i="23"/>
  <c r="I71" i="23"/>
  <c r="I72" i="23"/>
  <c r="J56" i="23"/>
  <c r="J69" i="23" s="1"/>
  <c r="G87" i="23"/>
  <c r="G90" i="23" s="1"/>
  <c r="AI140" i="23"/>
  <c r="AH141" i="23"/>
  <c r="Z73" i="23" s="1"/>
  <c r="Z85" i="23" s="1"/>
  <c r="Z99" i="23" s="1"/>
  <c r="AG74" i="23"/>
  <c r="AH58" i="23"/>
  <c r="AG47" i="23"/>
  <c r="AG52" i="23"/>
  <c r="AM137" i="23"/>
  <c r="AF49" i="23"/>
  <c r="V108" i="23" l="1"/>
  <c r="V50" i="23" s="1"/>
  <c r="V59" i="23" s="1"/>
  <c r="W109" i="23"/>
  <c r="U80" i="23"/>
  <c r="U66" i="23"/>
  <c r="U79" i="23"/>
  <c r="I78" i="23"/>
  <c r="I83" i="23" s="1"/>
  <c r="K55" i="23"/>
  <c r="K82" i="23" s="1"/>
  <c r="R75" i="23"/>
  <c r="T67" i="23"/>
  <c r="S68" i="23"/>
  <c r="S76" i="23"/>
  <c r="J77" i="23"/>
  <c r="J70" i="23"/>
  <c r="J71" i="23" s="1"/>
  <c r="J72" i="23" s="1"/>
  <c r="AF61" i="23"/>
  <c r="AF60" i="23" s="1"/>
  <c r="AN137" i="23"/>
  <c r="AG49" i="23"/>
  <c r="AJ140" i="23"/>
  <c r="AJ141" i="23"/>
  <c r="AB73" i="23" s="1"/>
  <c r="AB85" i="23" s="1"/>
  <c r="AB99" i="23" s="1"/>
  <c r="AH74" i="23"/>
  <c r="AI58" i="23"/>
  <c r="AH52" i="23"/>
  <c r="AH47" i="23"/>
  <c r="AG61" i="23"/>
  <c r="AG60" i="23" s="1"/>
  <c r="AI141" i="23"/>
  <c r="AA73" i="23" s="1"/>
  <c r="AA85" i="23" s="1"/>
  <c r="AA99" i="23" s="1"/>
  <c r="W108" i="23" l="1"/>
  <c r="W50" i="23" s="1"/>
  <c r="W59" i="23" s="1"/>
  <c r="X109" i="23"/>
  <c r="V80" i="23"/>
  <c r="V66" i="23"/>
  <c r="V79" i="23"/>
  <c r="W79" i="23" s="1"/>
  <c r="I86" i="23"/>
  <c r="I88" i="23"/>
  <c r="I84" i="23"/>
  <c r="I89" i="23" s="1"/>
  <c r="S75" i="23"/>
  <c r="L53" i="23"/>
  <c r="J78" i="23"/>
  <c r="J83" i="23" s="1"/>
  <c r="T76" i="23"/>
  <c r="T68" i="23"/>
  <c r="T75" i="23" s="1"/>
  <c r="U67" i="23"/>
  <c r="K56" i="23"/>
  <c r="K69" i="23" s="1"/>
  <c r="AI74" i="23"/>
  <c r="AJ58" i="23"/>
  <c r="AI52" i="23"/>
  <c r="AI47" i="23"/>
  <c r="AH61" i="23"/>
  <c r="AH60" i="23" s="1"/>
  <c r="AK140" i="23"/>
  <c r="AK141" i="23"/>
  <c r="AC73" i="23" s="1"/>
  <c r="AC85" i="23" s="1"/>
  <c r="AC99" i="23" s="1"/>
  <c r="AO137" i="23"/>
  <c r="AH49" i="23"/>
  <c r="Y109" i="23" l="1"/>
  <c r="X108" i="23"/>
  <c r="X50" i="23" s="1"/>
  <c r="X59" i="23" s="1"/>
  <c r="W80" i="23"/>
  <c r="W66" i="23"/>
  <c r="J86" i="23"/>
  <c r="J87" i="23" s="1"/>
  <c r="J84" i="23"/>
  <c r="J89" i="23" s="1"/>
  <c r="V67" i="23"/>
  <c r="U68" i="23"/>
  <c r="U75" i="23" s="1"/>
  <c r="U76" i="23"/>
  <c r="L55" i="23"/>
  <c r="L56" i="23" s="1"/>
  <c r="L69" i="23" s="1"/>
  <c r="J88" i="23"/>
  <c r="K77" i="23"/>
  <c r="K70" i="23"/>
  <c r="I87" i="23"/>
  <c r="I90" i="23" s="1"/>
  <c r="AP137" i="23"/>
  <c r="AI49" i="23"/>
  <c r="AJ74" i="23"/>
  <c r="AJ47" i="23"/>
  <c r="AK58" i="23"/>
  <c r="AJ52" i="23"/>
  <c r="AL141" i="23"/>
  <c r="AD73" i="23" s="1"/>
  <c r="AD85" i="23" s="1"/>
  <c r="AD99" i="23" s="1"/>
  <c r="AL140" i="23"/>
  <c r="AI61" i="23"/>
  <c r="AI60" i="23" s="1"/>
  <c r="J90" i="23" l="1"/>
  <c r="X80" i="23"/>
  <c r="X66" i="23"/>
  <c r="X79" i="23"/>
  <c r="Y108" i="23"/>
  <c r="Y50" i="23" s="1"/>
  <c r="Y59" i="23" s="1"/>
  <c r="Z109" i="23"/>
  <c r="M53" i="23"/>
  <c r="L82" i="23"/>
  <c r="V68" i="23"/>
  <c r="V75" i="23" s="1"/>
  <c r="V76" i="23"/>
  <c r="W67" i="23"/>
  <c r="L77" i="23"/>
  <c r="L70" i="23"/>
  <c r="K71" i="23"/>
  <c r="K78" i="23" s="1"/>
  <c r="K83" i="23" s="1"/>
  <c r="AM140" i="23"/>
  <c r="AK74" i="23"/>
  <c r="AK52" i="23"/>
  <c r="AK47" i="23"/>
  <c r="AL58" i="23"/>
  <c r="AQ137" i="23"/>
  <c r="AJ49" i="23"/>
  <c r="AA109" i="23" l="1"/>
  <c r="Z108" i="23"/>
  <c r="Z50" i="23" s="1"/>
  <c r="Z59" i="23" s="1"/>
  <c r="Y80" i="23"/>
  <c r="Y66" i="23"/>
  <c r="Y79" i="23"/>
  <c r="K72" i="23"/>
  <c r="L71" i="23"/>
  <c r="L78" i="23" s="1"/>
  <c r="L83" i="23" s="1"/>
  <c r="K86" i="23"/>
  <c r="K87" i="23" s="1"/>
  <c r="K90" i="23" s="1"/>
  <c r="K88" i="23"/>
  <c r="K84" i="23"/>
  <c r="K89" i="23" s="1"/>
  <c r="X67" i="23"/>
  <c r="W76" i="23"/>
  <c r="W68" i="23"/>
  <c r="W75" i="23" s="1"/>
  <c r="M55" i="23"/>
  <c r="M82" i="23" s="1"/>
  <c r="AN140" i="23"/>
  <c r="AJ61" i="23"/>
  <c r="AJ60" i="23" s="1"/>
  <c r="AM141" i="23"/>
  <c r="AE73" i="23" s="1"/>
  <c r="AE85" i="23" s="1"/>
  <c r="AE99" i="23" s="1"/>
  <c r="AM58" i="23"/>
  <c r="AL52" i="23"/>
  <c r="AL47" i="23"/>
  <c r="AL74" i="23"/>
  <c r="AR137" i="23"/>
  <c r="AK49" i="23"/>
  <c r="Z79" i="23" l="1"/>
  <c r="L72" i="23"/>
  <c r="Z80" i="23"/>
  <c r="Z66" i="23"/>
  <c r="AB109" i="23"/>
  <c r="AA108" i="23"/>
  <c r="AA50" i="23" s="1"/>
  <c r="AA59" i="23" s="1"/>
  <c r="M56" i="23"/>
  <c r="M69" i="23" s="1"/>
  <c r="N53" i="23"/>
  <c r="Y67" i="23"/>
  <c r="X68" i="23"/>
  <c r="X75" i="23" s="1"/>
  <c r="X76" i="23"/>
  <c r="L86" i="23"/>
  <c r="L87" i="23" s="1"/>
  <c r="L84" i="23"/>
  <c r="L89" i="23" s="1"/>
  <c r="G28" i="23" s="1"/>
  <c r="C105" i="23" s="1"/>
  <c r="L88" i="23"/>
  <c r="B105" i="23" s="1"/>
  <c r="AO140" i="23"/>
  <c r="AO141" i="23"/>
  <c r="AG73" i="23" s="1"/>
  <c r="AG85" i="23" s="1"/>
  <c r="AG99" i="23" s="1"/>
  <c r="AK61" i="23"/>
  <c r="AK60" i="23" s="1"/>
  <c r="AS137" i="23"/>
  <c r="AL49" i="23"/>
  <c r="AM74" i="23"/>
  <c r="AM47" i="23"/>
  <c r="AN58" i="23"/>
  <c r="AM52" i="23"/>
  <c r="AN141" i="23"/>
  <c r="AF73" i="23" s="1"/>
  <c r="AF85" i="23" s="1"/>
  <c r="AF99" i="23" s="1"/>
  <c r="AB108" i="23" l="1"/>
  <c r="AB50" i="23" s="1"/>
  <c r="AB59" i="23" s="1"/>
  <c r="AC109" i="23"/>
  <c r="AA66" i="23"/>
  <c r="AA80" i="23"/>
  <c r="AA79" i="23"/>
  <c r="L90" i="23"/>
  <c r="G29" i="23" s="1"/>
  <c r="D105" i="23" s="1"/>
  <c r="G30" i="23"/>
  <c r="A105" i="23" s="1"/>
  <c r="Z67" i="23"/>
  <c r="Y68" i="23"/>
  <c r="Y75" i="23" s="1"/>
  <c r="Y76" i="23"/>
  <c r="N55" i="23"/>
  <c r="N56" i="23" s="1"/>
  <c r="N69" i="23" s="1"/>
  <c r="M77" i="23"/>
  <c r="M70" i="23"/>
  <c r="AT137" i="23"/>
  <c r="AM49" i="23"/>
  <c r="AO58" i="23"/>
  <c r="AN52" i="23"/>
  <c r="AN74" i="23"/>
  <c r="AN47" i="23"/>
  <c r="AP141" i="23"/>
  <c r="AH73" i="23" s="1"/>
  <c r="AH85" i="23" s="1"/>
  <c r="AH99" i="23" s="1"/>
  <c r="AP140" i="23"/>
  <c r="AM61" i="23"/>
  <c r="AM60" i="23" s="1"/>
  <c r="AL61" i="23"/>
  <c r="AL60" i="23" s="1"/>
  <c r="AB66" i="23" l="1"/>
  <c r="AB80" i="23"/>
  <c r="AB79" i="23"/>
  <c r="AC108" i="23"/>
  <c r="AC50" i="23" s="1"/>
  <c r="AC59" i="23" s="1"/>
  <c r="AD109" i="23"/>
  <c r="O53" i="23"/>
  <c r="N82" i="23"/>
  <c r="AA67" i="23"/>
  <c r="Z76" i="23"/>
  <c r="Z68" i="23"/>
  <c r="Z75" i="23" s="1"/>
  <c r="M71" i="23"/>
  <c r="M78" i="23" s="1"/>
  <c r="M83" i="23" s="1"/>
  <c r="N77" i="23"/>
  <c r="N70" i="23"/>
  <c r="AO74" i="23"/>
  <c r="AP58" i="23"/>
  <c r="AO52" i="23"/>
  <c r="AO47" i="23"/>
  <c r="AQ141" i="23"/>
  <c r="AI73" i="23" s="1"/>
  <c r="AI85" i="23" s="1"/>
  <c r="AI99" i="23" s="1"/>
  <c r="AQ140" i="23"/>
  <c r="AU137" i="23"/>
  <c r="AN49" i="23"/>
  <c r="M72" i="23" l="1"/>
  <c r="AE109" i="23"/>
  <c r="AD108" i="23"/>
  <c r="AD50" i="23" s="1"/>
  <c r="AD59" i="23" s="1"/>
  <c r="AC66" i="23"/>
  <c r="AC80" i="23"/>
  <c r="AC79" i="23"/>
  <c r="AA76" i="23"/>
  <c r="AA68" i="23"/>
  <c r="AA75" i="23" s="1"/>
  <c r="AB67" i="23"/>
  <c r="AQ67" i="23"/>
  <c r="M86" i="23"/>
  <c r="M87" i="23" s="1"/>
  <c r="M90" i="23" s="1"/>
  <c r="M88" i="23"/>
  <c r="M84" i="23"/>
  <c r="M89" i="23" s="1"/>
  <c r="N71" i="23"/>
  <c r="N78" i="23" s="1"/>
  <c r="N83" i="23" s="1"/>
  <c r="N88" i="23" s="1"/>
  <c r="O55" i="23"/>
  <c r="O82" i="23" s="1"/>
  <c r="AP74" i="23"/>
  <c r="AP52" i="23"/>
  <c r="AP47" i="23"/>
  <c r="AV137" i="23"/>
  <c r="AO49" i="23"/>
  <c r="AN61" i="23"/>
  <c r="AN60" i="23" s="1"/>
  <c r="AO61" i="23"/>
  <c r="AO60" i="23" s="1"/>
  <c r="AR140" i="23"/>
  <c r="AR141" i="23"/>
  <c r="AJ73" i="23" s="1"/>
  <c r="AJ85" i="23" s="1"/>
  <c r="AJ99" i="23" s="1"/>
  <c r="N72" i="23" l="1"/>
  <c r="O56" i="23"/>
  <c r="O69" i="23" s="1"/>
  <c r="O77" i="23" s="1"/>
  <c r="AD80" i="23"/>
  <c r="AD66" i="23"/>
  <c r="AD79" i="23"/>
  <c r="AF109" i="23"/>
  <c r="AE108" i="23"/>
  <c r="AE50" i="23" s="1"/>
  <c r="AE59" i="23" s="1"/>
  <c r="P53" i="23"/>
  <c r="P55" i="23" s="1"/>
  <c r="P56" i="23" s="1"/>
  <c r="P69" i="23" s="1"/>
  <c r="AB76" i="23"/>
  <c r="AB68" i="23"/>
  <c r="AB75" i="23" s="1"/>
  <c r="AC67" i="23"/>
  <c r="N86" i="23"/>
  <c r="N87" i="23" s="1"/>
  <c r="N90" i="23" s="1"/>
  <c r="N84" i="23"/>
  <c r="N89" i="23" s="1"/>
  <c r="O70" i="23"/>
  <c r="AS140" i="23"/>
  <c r="AW137" i="23"/>
  <c r="AX137" i="23" s="1"/>
  <c r="AY137" i="23" s="1"/>
  <c r="AP49" i="23"/>
  <c r="AE79" i="23" l="1"/>
  <c r="AE66" i="23"/>
  <c r="AE80" i="23"/>
  <c r="AF108" i="23"/>
  <c r="AF50" i="23" s="1"/>
  <c r="AF59" i="23" s="1"/>
  <c r="AG109" i="23"/>
  <c r="P77" i="23"/>
  <c r="P70" i="23"/>
  <c r="AC68" i="23"/>
  <c r="AC75" i="23" s="1"/>
  <c r="AC76" i="23"/>
  <c r="AD67" i="23"/>
  <c r="Q53" i="23"/>
  <c r="P82" i="23"/>
  <c r="O71" i="23"/>
  <c r="O78" i="23" s="1"/>
  <c r="O83" i="23" s="1"/>
  <c r="AT140" i="23"/>
  <c r="AT141" i="23" s="1"/>
  <c r="AL73" i="23" s="1"/>
  <c r="AL85" i="23" s="1"/>
  <c r="AL99" i="23" s="1"/>
  <c r="AP61" i="23"/>
  <c r="AP60" i="23" s="1"/>
  <c r="AS141" i="23"/>
  <c r="AK73" i="23" s="1"/>
  <c r="AK85" i="23" s="1"/>
  <c r="AK99" i="23" s="1"/>
  <c r="O72" i="23" l="1"/>
  <c r="AH109" i="23"/>
  <c r="AG108" i="23"/>
  <c r="AG50" i="23" s="1"/>
  <c r="AG59" i="23" s="1"/>
  <c r="AF80" i="23"/>
  <c r="AF66" i="23"/>
  <c r="AF79" i="23"/>
  <c r="Q55" i="23"/>
  <c r="Q82" i="23" s="1"/>
  <c r="P71" i="23"/>
  <c r="P78" i="23" s="1"/>
  <c r="P83" i="23" s="1"/>
  <c r="O86" i="23"/>
  <c r="O87" i="23" s="1"/>
  <c r="O90" i="23" s="1"/>
  <c r="O84" i="23"/>
  <c r="O89" i="23" s="1"/>
  <c r="O88" i="23"/>
  <c r="AD68" i="23"/>
  <c r="AD75" i="23" s="1"/>
  <c r="AE67" i="23"/>
  <c r="AD76" i="23"/>
  <c r="AU141" i="23"/>
  <c r="AM73" i="23" s="1"/>
  <c r="AM85" i="23" s="1"/>
  <c r="AM99" i="23" s="1"/>
  <c r="AU140" i="23"/>
  <c r="AG79" i="23" l="1"/>
  <c r="AG80" i="23"/>
  <c r="AG66" i="23"/>
  <c r="AI109" i="23"/>
  <c r="AH108" i="23"/>
  <c r="AH50" i="23" s="1"/>
  <c r="AH59" i="23" s="1"/>
  <c r="R53" i="23"/>
  <c r="AE76" i="23"/>
  <c r="AF67" i="23"/>
  <c r="AE68" i="23"/>
  <c r="AE75" i="23" s="1"/>
  <c r="Q56" i="23"/>
  <c r="Q69" i="23" s="1"/>
  <c r="P86" i="23"/>
  <c r="P87" i="23" s="1"/>
  <c r="P90" i="23" s="1"/>
  <c r="P88" i="23"/>
  <c r="P84" i="23"/>
  <c r="P89" i="23" s="1"/>
  <c r="P72" i="23"/>
  <c r="AV140" i="23"/>
  <c r="AV141" i="23" s="1"/>
  <c r="AN73" i="23" s="1"/>
  <c r="AN85" i="23" s="1"/>
  <c r="AN99" i="23" s="1"/>
  <c r="AI108" i="23" l="1"/>
  <c r="AI50" i="23" s="1"/>
  <c r="AI59" i="23" s="1"/>
  <c r="AJ109" i="23"/>
  <c r="AH80" i="23"/>
  <c r="AH66" i="23"/>
  <c r="AH79" i="23"/>
  <c r="Q77" i="23"/>
  <c r="Q70" i="23"/>
  <c r="AF68" i="23"/>
  <c r="AF75" i="23" s="1"/>
  <c r="AF76" i="23"/>
  <c r="AG67" i="23"/>
  <c r="AR67" i="23"/>
  <c r="R55" i="23"/>
  <c r="R82" i="23" s="1"/>
  <c r="AW140" i="23"/>
  <c r="AK109" i="23" l="1"/>
  <c r="AJ108" i="23"/>
  <c r="AJ50" i="23" s="1"/>
  <c r="AJ59" i="23" s="1"/>
  <c r="AI80" i="23"/>
  <c r="AI66" i="23"/>
  <c r="AI79" i="23"/>
  <c r="S53" i="23"/>
  <c r="Q71" i="23"/>
  <c r="Q78" i="23" s="1"/>
  <c r="Q83" i="23" s="1"/>
  <c r="R56" i="23"/>
  <c r="R69" i="23" s="1"/>
  <c r="AG76" i="23"/>
  <c r="AH67" i="23"/>
  <c r="AG68" i="23"/>
  <c r="AG75" i="23" s="1"/>
  <c r="AX141" i="23"/>
  <c r="AP73" i="23" s="1"/>
  <c r="AP85" i="23" s="1"/>
  <c r="AP99" i="23" s="1"/>
  <c r="AX140" i="23"/>
  <c r="AW141" i="23"/>
  <c r="AO73" i="23" s="1"/>
  <c r="AO85" i="23" s="1"/>
  <c r="AO99" i="23" s="1"/>
  <c r="Q72" i="23" l="1"/>
  <c r="AJ80" i="23"/>
  <c r="AJ66" i="23"/>
  <c r="AJ79" i="23"/>
  <c r="AK108" i="23"/>
  <c r="AK50" i="23" s="1"/>
  <c r="AK59" i="23" s="1"/>
  <c r="AL109" i="23"/>
  <c r="R77" i="23"/>
  <c r="R70" i="23"/>
  <c r="Q86" i="23"/>
  <c r="Q87" i="23" s="1"/>
  <c r="Q90" i="23" s="1"/>
  <c r="Q84" i="23"/>
  <c r="Q89" i="23" s="1"/>
  <c r="Q88" i="23"/>
  <c r="AH68" i="23"/>
  <c r="AH75" i="23" s="1"/>
  <c r="AI67" i="23"/>
  <c r="AH76" i="23"/>
  <c r="S55" i="23"/>
  <c r="S82" i="23" s="1"/>
  <c r="AQ99" i="23"/>
  <c r="A100" i="23" s="1"/>
  <c r="AY140" i="23"/>
  <c r="AY141" i="23" s="1"/>
  <c r="AK80" i="23" l="1"/>
  <c r="AK66" i="23"/>
  <c r="AK79" i="23"/>
  <c r="AM109" i="23"/>
  <c r="AL108" i="23"/>
  <c r="AL50" i="23" s="1"/>
  <c r="AL59" i="23" s="1"/>
  <c r="R71" i="23"/>
  <c r="R78" i="23" s="1"/>
  <c r="R83" i="23" s="1"/>
  <c r="S56" i="23"/>
  <c r="S69" i="23" s="1"/>
  <c r="T53" i="23"/>
  <c r="AI68" i="23"/>
  <c r="AI75" i="23" s="1"/>
  <c r="AI76" i="23"/>
  <c r="AJ67" i="23"/>
  <c r="AN109" i="23" l="1"/>
  <c r="AM108" i="23"/>
  <c r="AM50" i="23" s="1"/>
  <c r="AM59" i="23" s="1"/>
  <c r="AL80" i="23"/>
  <c r="AL66" i="23"/>
  <c r="AL79" i="23"/>
  <c r="S77" i="23"/>
  <c r="S70" i="23"/>
  <c r="AJ68" i="23"/>
  <c r="AJ75" i="23" s="1"/>
  <c r="AK67" i="23"/>
  <c r="AJ76" i="23"/>
  <c r="R72" i="23"/>
  <c r="T55" i="23"/>
  <c r="T56" i="23" s="1"/>
  <c r="T69" i="23" s="1"/>
  <c r="R86" i="23"/>
  <c r="R87" i="23" s="1"/>
  <c r="R90" i="23" s="1"/>
  <c r="R88" i="23"/>
  <c r="R84" i="23"/>
  <c r="R89" i="23" s="1"/>
  <c r="AM79" i="23" l="1"/>
  <c r="AM66" i="23"/>
  <c r="AM80" i="23"/>
  <c r="AN108" i="23"/>
  <c r="AN50" i="23" s="1"/>
  <c r="AN59" i="23" s="1"/>
  <c r="AO109" i="23"/>
  <c r="T77" i="23"/>
  <c r="T70" i="23"/>
  <c r="S71" i="23"/>
  <c r="S78" i="23" s="1"/>
  <c r="S83" i="23" s="1"/>
  <c r="U53" i="23"/>
  <c r="T82" i="23"/>
  <c r="AL67" i="23"/>
  <c r="AK68" i="23"/>
  <c r="AK75" i="23" s="1"/>
  <c r="AK76" i="23"/>
  <c r="S72" i="23" l="1"/>
  <c r="AN80" i="23"/>
  <c r="AN66" i="23"/>
  <c r="AN79" i="23"/>
  <c r="AO79" i="23" s="1"/>
  <c r="AP109" i="23"/>
  <c r="AP108" i="23" s="1"/>
  <c r="AP50" i="23" s="1"/>
  <c r="AP59" i="23" s="1"/>
  <c r="AO108" i="23"/>
  <c r="AO50" i="23" s="1"/>
  <c r="AO59" i="23" s="1"/>
  <c r="S86" i="23"/>
  <c r="S87" i="23" s="1"/>
  <c r="S90" i="23" s="1"/>
  <c r="S84" i="23"/>
  <c r="S89" i="23" s="1"/>
  <c r="S88" i="23"/>
  <c r="AL68" i="23"/>
  <c r="AL75" i="23" s="1"/>
  <c r="AM67" i="23"/>
  <c r="AL76" i="23"/>
  <c r="T71" i="23"/>
  <c r="T78" i="23" s="1"/>
  <c r="T83" i="23" s="1"/>
  <c r="U55" i="23"/>
  <c r="U82" i="23" s="1"/>
  <c r="U56" i="23" l="1"/>
  <c r="U69" i="23" s="1"/>
  <c r="U70" i="23" s="1"/>
  <c r="AP79" i="23"/>
  <c r="T72" i="23"/>
  <c r="AO80" i="23"/>
  <c r="AO66" i="23"/>
  <c r="AP80" i="23"/>
  <c r="AP66" i="23"/>
  <c r="V53" i="23"/>
  <c r="AN67" i="23"/>
  <c r="AM76" i="23"/>
  <c r="AM68" i="23"/>
  <c r="AM75" i="23" s="1"/>
  <c r="T86" i="23"/>
  <c r="T87" i="23" s="1"/>
  <c r="T90" i="23" s="1"/>
  <c r="T84" i="23"/>
  <c r="T89" i="23" s="1"/>
  <c r="T88" i="23"/>
  <c r="U77" i="23"/>
  <c r="V55" i="23" l="1"/>
  <c r="V56" i="23" s="1"/>
  <c r="V69" i="23" s="1"/>
  <c r="AN68" i="23"/>
  <c r="AN75" i="23" s="1"/>
  <c r="AO67" i="23"/>
  <c r="AN76" i="23"/>
  <c r="U71" i="23"/>
  <c r="U78" i="23" s="1"/>
  <c r="U83" i="23" s="1"/>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L86" i="23"/>
  <c r="AL87" i="23" s="1"/>
  <c r="AL90" i="23" s="1"/>
  <c r="AL84" i="23"/>
  <c r="AL89" i="23" s="1"/>
  <c r="AL88" i="23"/>
  <c r="AM70" i="23"/>
  <c r="AM77"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<sst xmlns="http://schemas.openxmlformats.org/spreadsheetml/2006/main" count="1085" uniqueCount="639">
  <si>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</si>
  <si>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</si>
  <si>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</si>
  <si>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</si>
  <si>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</si>
  <si>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</si>
  <si>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</si>
  <si>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</si>
  <si>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</si>
  <si>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</si>
  <si>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</si>
  <si>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</si>
  <si>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</si>
  <si>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</si>
  <si>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</si>
  <si>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</si>
  <si>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</si>
  <si>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</si>
  <si>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</si>
  <si>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</si>
  <si>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</si>
  <si>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</si>
  <si>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</si>
  <si>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</si>
  <si>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</si>
  <si>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</si>
  <si>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</si>
  <si>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</si>
  <si>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</si>
  <si>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</si>
  <si>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</si>
  <si>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</si>
  <si>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</si>
  <si>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</si>
  <si>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</si>
  <si>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</si>
  <si>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</si>
  <si>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</si>
  <si>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</si>
  <si>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</si>
  <si>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</si>
  <si>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</si>
  <si>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</si>
  <si>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</si>
  <si>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</si>
  <si>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</si>
  <si>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</si>
  <si>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</si>
  <si>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</si>
  <si>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</si>
  <si>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</si>
  <si>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</si>
  <si>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</si>
  <si>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</si>
  <si>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</si>
  <si>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</si>
  <si>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</si>
  <si>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</si>
  <si>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</si>
  <si>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</si>
  <si>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</si>
  <si>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</si>
  <si>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</si>
  <si>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</si>
  <si>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</si>
  <si>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</si>
  <si>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</si>
  <si>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</si>
  <si>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</si>
  <si>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</si>
  <si>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</si>
  <si>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</si>
  <si>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</si>
  <si>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</si>
  <si>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</si>
  <si>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</si>
  <si>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</si>
  <si>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</si>
  <si>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</si>
  <si>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</si>
  <si>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</si>
  <si>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</si>
  <si>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</si>
  <si>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</si>
  <si>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</si>
  <si>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</si>
  <si>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</si>
  <si>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</si>
  <si>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</si>
  <si>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</si>
  <si>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</si>
  <si>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</si>
  <si>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</si>
  <si>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</si>
  <si>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</si>
  <si>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</si>
  <si>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</si>
  <si>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</si>
  <si>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</si>
  <si>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</si>
  <si>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</si>
  <si>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</si>
  <si>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</si>
  <si>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</si>
  <si>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</si>
  <si>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</si>
  <si>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</si>
  <si>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</si>
  <si>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</si>
  <si>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</si>
  <si>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</si>
  <si>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</si>
  <si>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</si>
  <si>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</si>
  <si>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</si>
  <si>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</si>
  <si>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</si>
  <si>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</si>
  <si>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</si>
  <si>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</si>
  <si>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</si>
  <si>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</si>
  <si>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</si>
  <si>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</si>
  <si>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</si>
  <si>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</si>
  <si>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</si>
  <si>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</si>
  <si>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</si>
  <si>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</si>
  <si>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</si>
  <si>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</si>
  <si>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</si>
  <si>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</si>
  <si>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</si>
  <si>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</si>
  <si>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</si>
  <si>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</si>
  <si>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</si>
  <si>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</si>
  <si>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</si>
  <si>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</si>
  <si>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</si>
  <si>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</si>
  <si>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</si>
  <si>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</si>
  <si>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</si>
  <si>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</si>
  <si>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</si>
  <si>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</si>
  <si>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</si>
  <si>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</si>
  <si>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</si>
  <si>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</si>
  <si>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</si>
  <si>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</si>
  <si>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</si>
  <si>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</si>
  <si>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</si>
  <si>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</si>
  <si>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</si>
  <si>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</si>
  <si>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</si>
  <si>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</si>
  <si>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</si>
  <si>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</si>
  <si>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</si>
  <si>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</si>
  <si>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</si>
  <si>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</si>
  <si>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</si>
  <si>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</si>
  <si>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</si>
  <si>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</si>
  <si>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</si>
  <si>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</si>
  <si>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</si>
  <si>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</si>
  <si>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</si>
  <si>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</si>
  <si>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</si>
  <si>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</si>
  <si>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</si>
  <si>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</si>
  <si>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</si>
  <si>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</si>
  <si>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</si>
  <si>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</si>
  <si>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</si>
  <si>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</si>
  <si>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</si>
  <si>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</si>
  <si>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</si>
  <si>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</si>
  <si>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</si>
  <si>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</si>
  <si>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</si>
  <si>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</si>
  <si>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</si>
  <si>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</si>
  <si>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</si>
  <si>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</si>
  <si>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</si>
  <si>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</si>
  <si>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</si>
  <si>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</si>
  <si>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</si>
  <si>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</si>
  <si>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</si>
  <si>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</si>
  <si>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</si>
  <si>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</si>
  <si>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</si>
  <si>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</si>
  <si>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</si>
  <si>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</si>
  <si>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</si>
  <si>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</si>
  <si>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</si>
  <si>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</si>
  <si>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</si>
  <si>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</si>
  <si>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</si>
  <si>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</si>
  <si>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</si>
  <si>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</si>
  <si>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</si>
  <si>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</si>
  <si>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</si>
  <si>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</si>
  <si>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</si>
  <si>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</si>
  <si>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</si>
  <si>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</si>
  <si>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</si>
  <si>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</si>
  <si>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</si>
  <si>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</si>
  <si>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</si>
  <si>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</si>
  <si>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</si>
  <si>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</si>
  <si>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</si>
  <si>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</si>
  <si>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</si>
  <si>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</si>
  <si>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</si>
  <si>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</si>
  <si>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</si>
  <si>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</si>
  <si>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</si>
  <si>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</si>
  <si>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</si>
  <si>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</si>
  <si>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</si>
  <si>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</si>
  <si>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</si>
  <si>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</si>
  <si>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</si>
  <si>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</si>
  <si>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</si>
  <si>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</si>
  <si>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</si>
  <si>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</si>
  <si>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</si>
  <si>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</si>
  <si>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</si>
  <si>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</si>
  <si>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</si>
  <si>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</si>
  <si>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</si>
  <si>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</si>
  <si>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</si>
  <si>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</si>
  <si>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</si>
  <si>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</si>
  <si>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</si>
  <si>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</si>
  <si>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</si>
  <si>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</si>
  <si>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</si>
  <si>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</si>
  <si>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</si>
  <si>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</si>
  <si>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</si>
  <si>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</si>
  <si>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</si>
  <si>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</si>
  <si>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</si>
  <si>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</si>
  <si>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</si>
  <si>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</si>
  <si>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</si>
  <si>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</si>
  <si>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</si>
  <si>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</si>
  <si>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</si>
  <si>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</si>
  <si>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</si>
  <si>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</si>
  <si>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</si>
  <si>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</si>
  <si>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</si>
  <si>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</si>
  <si>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</si>
  <si>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</si>
  <si>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</si>
  <si>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</si>
  <si>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</si>
  <si>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</si>
  <si>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</si>
  <si>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</si>
  <si>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</si>
  <si>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</si>
  <si>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</si>
  <si>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</si>
  <si>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</si>
  <si>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</si>
  <si>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</si>
  <si>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</si>
  <si>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</si>
  <si>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</si>
  <si>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</si>
  <si>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</si>
  <si>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</si>
  <si>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</si>
  <si>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</si>
  <si>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</si>
  <si>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</si>
  <si>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</si>
  <si>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</si>
  <si>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</si>
  <si>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</si>
  <si>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</si>
  <si>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</si>
  <si>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</si>
  <si>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</si>
  <si>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</si>
  <si>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</si>
  <si>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</si>
  <si>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</si>
  <si>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</si>
  <si>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</si>
  <si>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</si>
  <si>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</si>
  <si>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</si>
  <si>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</si>
  <si>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</si>
  <si>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</si>
  <si>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</si>
  <si>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</si>
  <si>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</si>
  <si>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</si>
  <si>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</si>
  <si>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</si>
  <si>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</si>
  <si>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</si>
  <si>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</si>
  <si>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</si>
  <si>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</si>
  <si>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</si>
  <si>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</si>
  <si>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</si>
  <si>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</si>
  <si>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</si>
  <si>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</si>
  <si>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</si>
  <si>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</si>
  <si>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</si>
  <si>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</si>
  <si>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</si>
  <si>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</si>
  <si>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</si>
  <si>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</si>
  <si>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</si>
  <si>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</si>
  <si>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</si>
  <si>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</si>
  <si>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</si>
  <si>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</si>
  <si>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</si>
  <si>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</si>
  <si>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</si>
  <si>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</si>
  <si>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</si>
  <si>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</si>
  <si>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</si>
  <si>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</si>
  <si>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</si>
  <si>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</si>
  <si>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</si>
  <si>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</si>
  <si>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</si>
  <si>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</si>
  <si>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</si>
  <si>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</si>
  <si>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</si>
  <si>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</si>
  <si>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</si>
  <si>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</si>
  <si>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</si>
  <si>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</si>
  <si>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</si>
  <si>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</si>
  <si>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</si>
  <si>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</si>
  <si>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</si>
  <si>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</si>
  <si>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</si>
  <si>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</si>
  <si>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</si>
  <si>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</si>
  <si>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</si>
  <si>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</si>
  <si>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</si>
  <si>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</si>
  <si>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</si>
  <si>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</si>
  <si>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</si>
  <si>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</si>
  <si>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</si>
  <si>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</si>
  <si>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</si>
  <si>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</si>
  <si>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</si>
  <si>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</si>
  <si>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</si>
  <si>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</si>
  <si>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</si>
  <si>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</si>
  <si>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</si>
  <si>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</si>
  <si>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</si>
  <si>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</si>
  <si>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</si>
  <si>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</si>
  <si>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</si>
  <si>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</si>
  <si>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</si>
  <si>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</si>
  <si>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</si>
  <si>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</si>
  <si>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</si>
  <si>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</si>
  <si>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</si>
  <si>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</si>
  <si>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</si>
  <si>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</si>
  <si>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</si>
  <si>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</si>
  <si>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</si>
  <si>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</si>
  <si>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</si>
  <si>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</si>
  <si>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</si>
  <si>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</si>
  <si>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</si>
  <si>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</si>
  <si>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</si>
  <si>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</si>
  <si>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</si>
  <si>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</si>
  <si>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</si>
  <si>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</si>
  <si>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</si>
  <si>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</si>
  <si>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</si>
  <si>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</si>
  <si>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</si>
  <si>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</si>
  <si>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</si>
  <si>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</si>
  <si>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</si>
  <si>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</si>
  <si>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</si>
  <si>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</si>
  <si>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</si>
  <si>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</si>
  <si>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</si>
  <si>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</si>
  <si>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</si>
  <si>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</si>
  <si>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</si>
  <si>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</si>
  <si>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</si>
  <si>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</si>
  <si>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</si>
  <si>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</si>
  <si>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</si>
  <si>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</si>
  <si>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</si>
  <si>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</si>
  <si>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</si>
  <si>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</si>
  <si>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</si>
  <si>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</si>
  <si>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</si>
  <si>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</si>
  <si>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</si>
  <si>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</si>
  <si>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</si>
  <si>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</si>
  <si>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</si>
  <si>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</si>
  <si>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</si>
  <si>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</si>
  <si>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</si>
  <si>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</si>
  <si>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</si>
  <si>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</si>
  <si>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</si>
  <si>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</si>
  <si>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</si>
  <si>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</si>
  <si>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</si>
  <si>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</si>
  <si>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</si>
  <si>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</si>
  <si>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</si>
  <si>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</si>
  <si>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</si>
  <si>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</si>
  <si>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</si>
  <si>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</si>
  <si>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</si>
  <si>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</si>
  <si>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</si>
  <si>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</si>
  <si>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</si>
  <si>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</si>
  <si>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</si>
  <si>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</si>
  <si>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</si>
  <si>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</si>
  <si>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</si>
  <si>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</si>
  <si>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</si>
  <si>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</si>
  <si>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</si>
  <si>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</si>
  <si>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</si>
  <si>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</si>
  <si>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</si>
  <si>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</si>
  <si>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</si>
  <si>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</si>
  <si>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</si>
  <si>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</si>
  <si>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</si>
  <si>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</si>
  <si>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</si>
  <si>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</si>
  <si>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</si>
  <si>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</si>
  <si>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</si>
  <si>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</si>
  <si>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</si>
  <si>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</si>
  <si>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</si>
  <si>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</si>
  <si>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</si>
  <si>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</si>
  <si>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</si>
  <si>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</si>
  <si>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</si>
  <si>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</si>
  <si>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</si>
  <si>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</si>
  <si>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</si>
  <si>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</si>
  <si>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</si>
  <si>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</si>
  <si>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</si>
  <si>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</si>
  <si>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</si>
  <si>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</si>
  <si>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</si>
  <si>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</si>
  <si>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</si>
  <si>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</si>
  <si>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</si>
  <si>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</si>
  <si>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</si>
  <si>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</si>
  <si>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</si>
  <si>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</si>
  <si>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</si>
  <si>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</si>
  <si>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</si>
  <si>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</si>
  <si>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</si>
  <si>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</si>
  <si>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</si>
  <si>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</si>
  <si>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0.4 кВ</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</si>
  <si>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</si>
  <si>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</si>
  <si>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</si>
  <si>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</si>
  <si>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</si>
  <si>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ГП</t>
  </si>
  <si>
    <t>Год раскрытия информации: 2024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</si>
  <si>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</si>
  <si>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</si>
  <si>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</si>
  <si>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</si>
  <si>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</si>
  <si>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</si>
  <si>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</si>
  <si>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</si>
  <si>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</si>
  <si>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 xml:space="preserve"> по состоянию на 01.01.2024</t>
  </si>
  <si>
    <t>Сметная стоимость проекта в ценах  2024 года с НДС, млн. руб.</t>
  </si>
  <si>
    <t>Содержание дирекции заказчика-застройщика  в ценах 2024 года, млн рублей</t>
  </si>
  <si>
    <t>В КС...</t>
  </si>
  <si>
    <t>С</t>
  </si>
  <si>
    <t>O_23-1261</t>
  </si>
  <si>
    <t>Строительство ЛЭП 0,4 кВ от ТП 034-10, организация системы учета электроэнергии г. Гурьевск, Пражский бульвар</t>
  </si>
  <si>
    <t>Гурьевский городской округ</t>
  </si>
  <si>
    <t>КЛ 0,4 кВ от ТП-34-10 1с.</t>
  </si>
  <si>
    <t>КЛ 0,4 кВ от ТП-34-10 2с.</t>
  </si>
  <si>
    <t>3409/05/23 от 26.06.2023</t>
  </si>
  <si>
    <t>Строительство детского сада по Пражскому бульвару, 2а в г. Гурьевске Калининградской области</t>
  </si>
  <si>
    <t>238300, Калининградская обл, Гурьевский р-н, Гурьевск г, Пражский бульвар, дом № 2А</t>
  </si>
  <si>
    <t xml:space="preserve">1. Болтовые соединения на ТТ на I секции СП 0,4 кВ (п. 10.3)  
2. Болтовые соединения на ТТ на II секции СП 0,4 кВ (п. 10.3) </t>
  </si>
  <si>
    <t>В целях присоединения нового заявителя:
10.1 Выполнить мероприятия по техническому заданию по титулу ''Строительство 2-х ЛЭП 15 кВ от ПС 110 кВ О-64 ''Васильково'' в Гурьевском районе''.
10.2 Резервные группы на I и II секциях РУ 0,4 кВ ТП 034-10 оборудовать предохранителями на ток плавкой вставки в соответствии с расчетной мощностью.</t>
  </si>
  <si>
    <t>КЛ 0,4 кВ - 11,106 млн.руб./км</t>
  </si>
  <si>
    <t xml:space="preserve">2 СП 0,4 кВ </t>
  </si>
  <si>
    <t>АО "Янтарьэнергосервис" договор под ключ № 388/СП от 31.01.2024 в ценах 2024 года с НДС, млн. руб.</t>
  </si>
  <si>
    <t>АО "Янтарьэнергосервис" договор под ключ № 388/СП от 31.01.2024</t>
  </si>
  <si>
    <t>Разработка рабочей документации и выполнение строительно-монтажных работ с поставкой оборудования подрядчика по объектам: "Строительство ЛЭП 15 кВ от ВЛ 15-001 (инв. Ля 5115421), ЛЭП 15 кВ от ВЛ 15-006 (инв. № 5115422), организация системы учета электроэнергии г. Калининград, Мамоновское шоссе" (ТЗ Z/029166/2023-25); "Строительство ЛЭП 0,4 кВ от ТП 034-10, организация системы учета электроэнергии г. Гурьевск, Пражский бульвар" (ТЗ Z/030540/2023-20); "Строительство ЛЭП 15 кВ от ВЛ 15-036 (инв. № 5114662), организация системы учета электроэнергии в п. Шатрово Гурьевского района" (ТЗ Z/029392/2023-24)</t>
  </si>
  <si>
    <t>НМЦ</t>
  </si>
  <si>
    <t>ВЗ</t>
  </si>
  <si>
    <t>СЦ</t>
  </si>
  <si>
    <t>АО "Янтарьэнергосервис"</t>
  </si>
  <si>
    <t>ООО "ПрофЭнергоСтрой"</t>
  </si>
  <si>
    <t>ООО "Земстрой"</t>
  </si>
  <si>
    <t>1.	Монтаж СП № 1 и № 2 (новых) с системой учета электроэнергии – 2 шт.
2.	Строительство КЛ 0,4 кВ от ТП 34-10 СП № 1 (нового) кабелем 2хАПвБбШв 4х185 длиной 0,171 км.
3.	Строительство КЛ 0,4 кВ от ТП 34-10 СП № 2 (нового) кабелем 2хАПвБбШв 4х185 длиной 0,183 км.
4.	Устройство переходов методом ГНБ 0,033 км (4раб + 2рез, d=160 мм) и 0,027 км (2раб + 1рез, d=160 мм).</t>
  </si>
  <si>
    <t>ПСД, утв. приказом № 61 от 11.04.2024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</si>
</sst>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5" xfId="62" applyFont="1" applyFill="1" applyBorder="1" applyAlignment="1">
      <alignment horizontal="center" vertical="center"/>
    </xf>
    <xf numFmtId="0" fontId="53" fillId="0" borderId="55" xfId="62" applyFont="1" applyFill="1" applyBorder="1" applyAlignment="1">
      <alignment horizontal="center" vertical="center" wrapText="1"/>
    </xf>
    <xf numFmtId="0" fontId="29" fillId="0" borderId="4"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0" xfId="62" applyFont="1" applyAlignment="1">
      <alignment horizontal="center" vertical="center"/>
    </xf>
    <xf numFmtId="14" fontId="3" fillId="0" borderId="56"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7" xfId="2" applyNumberFormat="1" applyFont="1" applyFill="1" applyBorder="1" applyAlignment="1">
      <alignment horizontal="center" vertical="center" wrapText="1" shrinkToFit="1"/>
    </xf>
    <xf numFmtId="14" fontId="3" fillId="0" borderId="57" xfId="77" applyNumberFormat="1" applyFont="1" applyFill="1" applyBorder="1" applyAlignment="1">
      <alignment horizontal="center" vertical="center" wrapText="1"/>
    </xf>
    <xf numFmtId="2" fontId="3" fillId="0" borderId="0" xfId="2" applyNumberFormat="1" applyFont="1"/>
    <xf numFmtId="0" fontId="3" fillId="0" borderId="58" xfId="62" applyFont="1" applyBorder="1" applyAlignment="1">
      <alignment horizontal="center" vertical="center"/>
    </xf>
    <xf numFmtId="0" fontId="3" fillId="0" borderId="58" xfId="62" applyFont="1" applyBorder="1" applyAlignment="1">
      <alignment horizontal="center" vertical="center" wrapText="1"/>
    </xf>
    <xf numFmtId="0" fontId="3" fillId="0" borderId="57"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1" xfId="67" applyNumberFormat="1" applyFont="1" applyFill="1" applyBorder="1" applyAlignment="1">
      <alignment vertical="center"/>
    </xf>
    <xf numFmtId="0" fontId="51" fillId="0" borderId="65" xfId="67" applyFont="1" applyFill="1" applyBorder="1" applyAlignment="1">
      <alignment vertical="center" wrapText="1"/>
    </xf>
    <xf numFmtId="0" fontId="53" fillId="0" borderId="65" xfId="67" applyFont="1" applyFill="1" applyBorder="1" applyAlignment="1">
      <alignment vertical="center" wrapText="1"/>
    </xf>
    <xf numFmtId="9" fontId="59" fillId="0" borderId="66" xfId="67" applyNumberFormat="1" applyFont="1" applyFill="1" applyBorder="1" applyAlignment="1">
      <alignment vertical="center"/>
    </xf>
    <xf numFmtId="0" fontId="53" fillId="0" borderId="67" xfId="67" applyFont="1" applyFill="1" applyBorder="1" applyAlignment="1">
      <alignment vertical="center" wrapText="1"/>
    </xf>
    <xf numFmtId="175" fontId="59" fillId="0" borderId="65" xfId="67" applyNumberFormat="1" applyFont="1" applyFill="1" applyBorder="1" applyAlignment="1">
      <alignment vertical="center"/>
    </xf>
    <xf numFmtId="10" fontId="59"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172" fontId="84" fillId="0" borderId="60" xfId="67" applyNumberFormat="1" applyFont="1" applyFill="1" applyBorder="1" applyAlignment="1">
      <alignment vertical="center"/>
    </xf>
    <xf numFmtId="0" fontId="87" fillId="29" borderId="60" xfId="62" applyFont="1" applyFill="1" applyBorder="1" applyAlignment="1">
      <alignment horizontal="center" vertical="center" wrapText="1"/>
    </xf>
    <xf numFmtId="172" fontId="66" fillId="29" borderId="60" xfId="62" applyNumberFormat="1" applyFont="1" applyFill="1" applyBorder="1" applyAlignment="1">
      <alignment horizontal="center" vertical="center" wrapText="1"/>
    </xf>
    <xf numFmtId="9" fontId="66" fillId="29" borderId="60" xfId="62" applyNumberFormat="1" applyFont="1" applyFill="1" applyBorder="1" applyAlignment="1">
      <alignment horizontal="center" vertical="center" wrapText="1"/>
    </xf>
    <xf numFmtId="4" fontId="66" fillId="29" borderId="60" xfId="62" applyNumberFormat="1" applyFont="1" applyFill="1" applyBorder="1" applyAlignment="1">
      <alignment horizontal="center" vertical="center" wrapText="1"/>
    </xf>
    <xf numFmtId="0" fontId="30" fillId="0" borderId="60" xfId="62" applyBorder="1" applyAlignment="1">
      <alignment horizontal="center" vertical="center" wrapText="1"/>
    </xf>
    <xf numFmtId="0" fontId="30" fillId="30"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30"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30" borderId="60" xfId="68" applyFont="1" applyFill="1" applyBorder="1" applyAlignment="1">
      <alignment horizontal="center" vertical="center"/>
    </xf>
    <xf numFmtId="0" fontId="30" fillId="28"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6" fillId="0" borderId="60" xfId="62" applyFont="1" applyBorder="1" applyAlignment="1">
      <alignment wrapText="1"/>
    </xf>
    <xf numFmtId="4" fontId="66" fillId="28" borderId="60" xfId="62" applyNumberFormat="1" applyFont="1" applyFill="1" applyBorder="1" applyAlignment="1">
      <alignment horizontal="center"/>
    </xf>
    <xf numFmtId="3" fontId="66" fillId="28" borderId="60" xfId="62" applyNumberFormat="1" applyFont="1" applyFill="1" applyBorder="1" applyAlignment="1">
      <alignment horizontal="center"/>
    </xf>
    <xf numFmtId="0" fontId="66" fillId="0" borderId="63" xfId="62" applyFont="1" applyBorder="1" applyAlignment="1">
      <alignment wrapText="1"/>
    </xf>
    <xf numFmtId="3" fontId="66" fillId="0" borderId="63" xfId="62" applyNumberFormat="1" applyFont="1" applyFill="1" applyBorder="1"/>
    <xf numFmtId="4" fontId="66" fillId="0" borderId="60" xfId="62" applyNumberFormat="1" applyFont="1" applyFill="1" applyBorder="1" applyAlignment="1">
      <alignment horizontal="center"/>
    </xf>
    <xf numFmtId="4" fontId="66" fillId="30" borderId="60" xfId="62" applyNumberFormat="1" applyFont="1" applyFill="1" applyBorder="1" applyAlignment="1">
      <alignment horizontal="center"/>
    </xf>
    <xf numFmtId="10" fontId="66" fillId="30" borderId="60" xfId="62" applyNumberFormat="1" applyFont="1" applyFill="1" applyBorder="1" applyAlignment="1">
      <alignment horizontal="center"/>
    </xf>
    <xf numFmtId="0" fontId="53" fillId="0" borderId="63" xfId="67" applyFont="1" applyFill="1" applyBorder="1" applyAlignment="1">
      <alignment vertical="center" wrapText="1"/>
    </xf>
    <xf numFmtId="3" fontId="59" fillId="0" borderId="63" xfId="67" applyNumberFormat="1" applyFont="1" applyFill="1" applyBorder="1" applyAlignment="1">
      <alignment horizontal="center" vertical="center"/>
    </xf>
    <xf numFmtId="0" fontId="66" fillId="32" borderId="60" xfId="62" applyFont="1" applyFill="1" applyBorder="1" applyAlignment="1">
      <alignment horizontal="left" vertical="center" wrapText="1"/>
    </xf>
    <xf numFmtId="0" fontId="66" fillId="32" borderId="60" xfId="62" applyFont="1" applyFill="1" applyBorder="1" applyAlignment="1">
      <alignment horizontal="center" wrapText="1"/>
    </xf>
    <xf numFmtId="0" fontId="66" fillId="0" borderId="60" xfId="62" applyFont="1" applyBorder="1"/>
    <xf numFmtId="0" fontId="66" fillId="32" borderId="60" xfId="62" applyFont="1" applyFill="1" applyBorder="1"/>
    <xf numFmtId="10" fontId="66" fillId="32" borderId="60" xfId="62" applyNumberFormat="1" applyFont="1" applyFill="1" applyBorder="1"/>
    <xf numFmtId="0" fontId="66" fillId="32" borderId="63" xfId="62" applyFont="1" applyFill="1" applyBorder="1"/>
    <xf numFmtId="10" fontId="59" fillId="32" borderId="60" xfId="67" applyNumberFormat="1" applyFont="1" applyFill="1" applyBorder="1" applyAlignment="1">
      <alignment vertical="center"/>
    </xf>
    <xf numFmtId="0" fontId="66" fillId="0" borderId="63" xfId="62" applyFont="1" applyFill="1" applyBorder="1"/>
    <xf numFmtId="10" fontId="66" fillId="0" borderId="63" xfId="62" applyNumberFormat="1" applyFont="1" applyFill="1" applyBorder="1"/>
    <xf numFmtId="3" fontId="53" fillId="32" borderId="60" xfId="67" applyNumberFormat="1" applyFont="1" applyFill="1" applyBorder="1" applyAlignment="1">
      <alignment horizontal="right" vertical="center"/>
    </xf>
    <xf numFmtId="167" fontId="59" fillId="32" borderId="60"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0" xfId="2" applyFont="1" applyFill="1" applyBorder="1" applyAlignment="1">
      <alignment vertical="center" wrapText="1"/>
    </xf>
    <xf numFmtId="2" fontId="58" fillId="0" borderId="60" xfId="2" applyNumberFormat="1" applyFont="1" applyFill="1" applyBorder="1" applyAlignment="1">
      <alignment horizontal="center" vertical="center" wrapText="1"/>
    </xf>
    <xf numFmtId="173" fontId="53" fillId="0" borderId="60" xfId="2" applyNumberFormat="1" applyFont="1" applyFill="1" applyBorder="1" applyAlignment="1">
      <alignment horizontal="center" vertical="center" wrapText="1"/>
    </xf>
    <xf numFmtId="173" fontId="58" fillId="0" borderId="60" xfId="2" applyNumberFormat="1" applyFont="1" applyFill="1" applyBorder="1" applyAlignment="1">
      <alignment horizontal="center" vertical="center" wrapText="1"/>
    </xf>
    <xf numFmtId="0" fontId="29" fillId="0" borderId="59" xfId="2" applyFont="1" applyFill="1" applyBorder="1" applyAlignment="1">
      <alignment horizontal="center" vertical="center" wrapText="1"/>
    </xf>
    <xf numFmtId="0" fontId="3" fillId="0" borderId="59" xfId="2" applyFont="1" applyFill="1" applyBorder="1" applyAlignment="1">
      <alignment horizontal="center" vertical="center" wrapText="1"/>
    </xf>
    <xf numFmtId="0" fontId="29" fillId="0" borderId="60" xfId="2" applyFont="1" applyFill="1" applyBorder="1" applyAlignment="1">
      <alignment horizontal="center" vertical="center" textRotation="90" wrapText="1"/>
    </xf>
    <xf numFmtId="0" fontId="29" fillId="0" borderId="60" xfId="2" applyFont="1" applyFill="1" applyBorder="1" applyAlignment="1">
      <alignment horizontal="center" vertical="center" wrapText="1"/>
    </xf>
    <xf numFmtId="173" fontId="29" fillId="0" borderId="60" xfId="2" applyNumberFormat="1" applyFont="1" applyFill="1" applyBorder="1" applyAlignment="1">
      <alignment horizontal="center" vertical="center" wrapText="1"/>
    </xf>
    <xf numFmtId="173" fontId="29" fillId="0" borderId="60"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3" fillId="0" borderId="60" xfId="1" applyFont="1" applyBorder="1" applyAlignment="1">
      <alignment horizontal="center" vertical="center" wrapText="1"/>
    </xf>
    <xf numFmtId="0" fontId="3" fillId="0" borderId="62" xfId="1" applyFont="1" applyBorder="1" applyAlignment="1">
      <alignment horizontal="center" vertical="center" wrapText="1"/>
    </xf>
    <xf numFmtId="0" fontId="3" fillId="0" borderId="62" xfId="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0"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2" xfId="67" applyFont="1" applyFill="1" applyBorder="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4" fontId="49" fillId="0" borderId="62" xfId="67" applyNumberFormat="1" applyFont="1" applyFill="1" applyBorder="1" applyAlignment="1">
      <alignment horizontal="center" vertical="center"/>
    </xf>
    <xf numFmtId="4" fontId="49" fillId="0" borderId="64"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0" fontId="49" fillId="0" borderId="62" xfId="67"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2" xfId="62" applyBorder="1" applyAlignment="1">
      <alignment horizontal="center" vertical="center" wrapText="1"/>
    </xf>
    <xf numFmtId="0" fontId="30" fillId="0" borderId="64"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60" xfId="2" applyFont="1" applyFill="1" applyBorder="1" applyAlignment="1">
      <alignment horizontal="center" vertical="center" wrapText="1"/>
    </xf>
    <xf numFmtId="0" fontId="29" fillId="0" borderId="62" xfId="52" applyFont="1" applyFill="1" applyBorder="1" applyAlignment="1">
      <alignment horizontal="center" vertical="center"/>
    </xf>
    <xf numFmtId="0" fontId="29" fillId="0" borderId="63"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0" xfId="2" applyFont="1" applyBorder="1" applyAlignment="1">
      <alignment horizontal="center" vertical="center"/>
    </xf>
    <xf numFmtId="0" fontId="58" fillId="0" borderId="59"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0"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8A0-4772-B52D-D6B063E83D0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topLeftCell="A7" zoomScale="80" zoomScaleSheetLayoutView="80" workbookViewId="0">
      <selection activeCell="A9" sqref="A9:C9"/>
    </sheetView>
  </sheetViews>
  <sheetFormatPr defaultColWidth="9.140625" defaultRowHeight="15" x14ac:dyDescent="0.25"/>
  <cols>
    <col min="1" max="1" width="6.140625" style="70" customWidth="1"/>
    <col min="2" max="2" width="53.5703125" style="70" customWidth="1"/>
    <col min="3" max="3" width="91.42578125" style="174"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7"/>
      <c r="F4" s="71"/>
      <c r="G4" s="71"/>
      <c r="H4" s="1"/>
    </row>
    <row r="5" spans="1:22" s="2" customFormat="1" ht="15.75" x14ac:dyDescent="0.25">
      <c r="A5" s="413" t="s">
        <v>601</v>
      </c>
      <c r="B5" s="413"/>
      <c r="C5" s="413"/>
      <c r="D5" s="48"/>
      <c r="E5" s="48"/>
      <c r="F5" s="48"/>
      <c r="G5" s="48"/>
      <c r="H5" s="48"/>
      <c r="I5" s="48"/>
      <c r="J5" s="48"/>
    </row>
    <row r="6" spans="1:22" s="2" customFormat="1" ht="18.75" x14ac:dyDescent="0.3">
      <c r="A6" s="72"/>
      <c r="C6" s="167"/>
      <c r="F6" s="71"/>
      <c r="G6" s="71"/>
      <c r="H6" s="1"/>
    </row>
    <row r="7" spans="1:22" s="2" customFormat="1" ht="18.75" x14ac:dyDescent="0.2">
      <c r="A7" s="420" t="s">
        <v>7</v>
      </c>
      <c r="B7" s="420"/>
      <c r="C7" s="420"/>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8"/>
      <c r="D8" s="74"/>
      <c r="E8" s="74"/>
      <c r="F8" s="74"/>
      <c r="G8" s="74"/>
      <c r="H8" s="74"/>
      <c r="I8" s="73"/>
      <c r="J8" s="73"/>
      <c r="K8" s="73"/>
      <c r="L8" s="73"/>
      <c r="M8" s="73"/>
      <c r="N8" s="73"/>
      <c r="O8" s="73"/>
      <c r="P8" s="73"/>
      <c r="Q8" s="73"/>
      <c r="R8" s="73"/>
      <c r="S8" s="73"/>
      <c r="T8" s="73"/>
      <c r="U8" s="73"/>
      <c r="V8" s="73"/>
    </row>
    <row r="9" spans="1:22" s="2" customFormat="1" ht="18.75" x14ac:dyDescent="0.2">
      <c r="A9" s="421" t="s">
        <v>602</v>
      </c>
      <c r="B9" s="421"/>
      <c r="C9" s="421"/>
      <c r="D9" s="75"/>
      <c r="E9" s="75"/>
      <c r="F9" s="75"/>
      <c r="G9" s="75"/>
      <c r="H9" s="75"/>
      <c r="I9" s="73"/>
      <c r="J9" s="73"/>
      <c r="K9" s="73"/>
      <c r="L9" s="73"/>
      <c r="M9" s="73"/>
      <c r="N9" s="73"/>
      <c r="O9" s="73"/>
      <c r="P9" s="73"/>
      <c r="Q9" s="73"/>
      <c r="R9" s="73"/>
      <c r="S9" s="73"/>
      <c r="T9" s="73"/>
      <c r="U9" s="73"/>
      <c r="V9" s="73"/>
    </row>
    <row r="10" spans="1:22" s="2" customFormat="1" ht="18.75" x14ac:dyDescent="0.2">
      <c r="A10" s="417" t="s">
        <v>6</v>
      </c>
      <c r="B10" s="417"/>
      <c r="C10" s="417"/>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8"/>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20" t="s">
        <v>616</v>
      </c>
      <c r="B12" s="420"/>
      <c r="C12" s="420"/>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17" t="s">
        <v>5</v>
      </c>
      <c r="B13" s="417"/>
      <c r="C13" s="417"/>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9"/>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18" t="s">
        <v>617</v>
      </c>
      <c r="B15" s="418"/>
      <c r="C15" s="418"/>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17" t="s">
        <v>4</v>
      </c>
      <c r="B16" s="417"/>
      <c r="C16" s="417"/>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0"/>
      <c r="D17" s="80"/>
      <c r="E17" s="80"/>
      <c r="F17" s="80"/>
      <c r="G17" s="80"/>
      <c r="H17" s="80"/>
      <c r="I17" s="80"/>
      <c r="J17" s="80"/>
      <c r="K17" s="80"/>
      <c r="L17" s="80"/>
      <c r="M17" s="80"/>
      <c r="N17" s="80"/>
      <c r="O17" s="80"/>
      <c r="P17" s="80"/>
      <c r="Q17" s="80"/>
      <c r="R17" s="80"/>
      <c r="S17" s="80"/>
    </row>
    <row r="18" spans="1:22" s="79" customFormat="1" ht="15" customHeight="1" x14ac:dyDescent="0.2">
      <c r="A18" s="418" t="s">
        <v>374</v>
      </c>
      <c r="B18" s="419"/>
      <c r="C18" s="419"/>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1"/>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5" t="s">
        <v>476</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475</v>
      </c>
      <c r="C23" s="175" t="s">
        <v>477</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4"/>
      <c r="B24" s="415"/>
      <c r="C24" s="416"/>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323</v>
      </c>
      <c r="C25" s="96" t="s">
        <v>478</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388</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2" t="s">
        <v>618</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324</v>
      </c>
      <c r="C28" s="96" t="s">
        <v>406</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325</v>
      </c>
      <c r="C29" s="96" t="s">
        <v>406</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326</v>
      </c>
      <c r="C30" s="96" t="s">
        <v>406</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327</v>
      </c>
      <c r="C31" s="96" t="s">
        <v>537</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328</v>
      </c>
      <c r="C32" s="96" t="s">
        <v>406</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329</v>
      </c>
      <c r="C33" s="96" t="s">
        <v>538</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334</v>
      </c>
      <c r="B37" s="96" t="s">
        <v>332</v>
      </c>
      <c r="C37" s="96" t="s">
        <v>537</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4"/>
      <c r="B39" s="415"/>
      <c r="C39" s="416"/>
      <c r="D39" s="97"/>
      <c r="E39" s="97"/>
      <c r="F39" s="97"/>
      <c r="G39" s="97"/>
      <c r="H39" s="97"/>
      <c r="I39" s="97"/>
      <c r="J39" s="97"/>
      <c r="K39" s="97"/>
      <c r="L39" s="97"/>
      <c r="M39" s="97"/>
      <c r="N39" s="97"/>
      <c r="O39" s="97"/>
      <c r="P39" s="97"/>
      <c r="Q39" s="97"/>
      <c r="R39" s="97"/>
      <c r="S39" s="97"/>
      <c r="T39" s="97"/>
      <c r="U39" s="97"/>
      <c r="V39" s="97"/>
    </row>
    <row r="40" spans="1:22" ht="63" x14ac:dyDescent="0.25">
      <c r="A40" s="88" t="s">
        <v>335</v>
      </c>
      <c r="B40" s="96" t="s">
        <v>385</v>
      </c>
      <c r="C40" s="176" t="str">
        <f>CONCATENATE("∆L0,4тп_лэп=",('3.2 паспорт Техсостояние ЛЭП'!R27)," км; 
SТПпотр=",'2. паспорт  ТП'!H23," МВт; Nсд_тпр=",'2. паспорт  ТП'!A22," договор; Фтз=",ROUND('5. анализ эконом эфф'!B122,2)," млн.руб.")</f>
        <v>∆L0,4тп_лэп=0,354 км; 
SТПпотр=0,298 МВт; Nсд_тпр=1 договор; Фтз=6,04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346</v>
      </c>
      <c r="B41" s="96" t="s">
        <v>369</v>
      </c>
      <c r="C41" s="176" t="s">
        <v>539</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336</v>
      </c>
      <c r="B42" s="96" t="s">
        <v>382</v>
      </c>
      <c r="C42" s="176" t="s">
        <v>539</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337</v>
      </c>
      <c r="B44" s="96" t="s">
        <v>375</v>
      </c>
      <c r="C44" s="96" t="s">
        <v>478</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370</v>
      </c>
      <c r="B45" s="96" t="s">
        <v>376</v>
      </c>
      <c r="C45" s="96" t="s">
        <v>478</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338</v>
      </c>
      <c r="B46" s="96" t="s">
        <v>377</v>
      </c>
      <c r="C46" s="96" t="s">
        <v>536</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4"/>
      <c r="B47" s="415"/>
      <c r="C47" s="416"/>
      <c r="D47" s="97"/>
      <c r="E47" s="97" t="s">
        <v>470</v>
      </c>
      <c r="F47" s="97"/>
      <c r="G47" s="97"/>
      <c r="H47" s="97"/>
      <c r="I47" s="97"/>
      <c r="J47" s="97"/>
      <c r="K47" s="97"/>
      <c r="L47" s="97"/>
      <c r="M47" s="97"/>
      <c r="N47" s="97"/>
      <c r="O47" s="97"/>
      <c r="P47" s="97"/>
      <c r="Q47" s="97"/>
      <c r="R47" s="97"/>
      <c r="S47" s="97"/>
      <c r="T47" s="97"/>
      <c r="U47" s="97"/>
      <c r="V47" s="97"/>
    </row>
    <row r="48" spans="1:22" ht="75.75" customHeight="1" x14ac:dyDescent="0.25">
      <c r="A48" s="88" t="s">
        <v>371</v>
      </c>
      <c r="B48" s="96" t="s">
        <v>383</v>
      </c>
      <c r="C48" s="96" t="str">
        <f>CONCATENATE(ROUND('6.2. Паспорт фин осв ввод'!AC24,2)," млн рублей")</f>
        <v>0 млн рублей</v>
      </c>
      <c r="D48" s="97"/>
      <c r="E48" s="97" t="s">
        <v>468</v>
      </c>
      <c r="F48" s="97"/>
      <c r="G48" s="97"/>
      <c r="H48" s="97"/>
      <c r="I48" s="97"/>
      <c r="J48" s="97"/>
      <c r="K48" s="97"/>
      <c r="L48" s="97"/>
      <c r="M48" s="97"/>
      <c r="N48" s="97"/>
      <c r="O48" s="97"/>
      <c r="P48" s="97"/>
      <c r="Q48" s="97"/>
      <c r="R48" s="97"/>
      <c r="S48" s="97"/>
      <c r="T48" s="97"/>
      <c r="U48" s="97"/>
      <c r="V48" s="97"/>
    </row>
    <row r="49" spans="1:22" ht="71.25" customHeight="1" x14ac:dyDescent="0.25">
      <c r="A49" s="88" t="s">
        <v>339</v>
      </c>
      <c r="B49" s="96" t="s">
        <v>384</v>
      </c>
      <c r="C49" s="96" t="str">
        <f>CONCATENATE(ROUND('6.2. Паспорт фин осв ввод'!AC30,2)," млн рублей")</f>
        <v>0,14 млн рублей</v>
      </c>
      <c r="D49" s="97"/>
      <c r="E49" s="97" t="s">
        <v>468</v>
      </c>
      <c r="F49" s="97"/>
      <c r="G49" s="97"/>
      <c r="H49" s="97"/>
      <c r="I49" s="97"/>
      <c r="J49" s="97"/>
      <c r="K49" s="97"/>
      <c r="L49" s="97"/>
      <c r="M49" s="97"/>
      <c r="N49" s="97"/>
      <c r="O49" s="97"/>
      <c r="P49" s="97"/>
      <c r="Q49" s="97"/>
      <c r="R49" s="97"/>
      <c r="S49" s="97"/>
      <c r="T49" s="97"/>
      <c r="U49" s="97"/>
      <c r="V49" s="97"/>
    </row>
    <row r="50" spans="1:22" ht="75.75" hidden="1" customHeight="1" x14ac:dyDescent="0.25">
      <c r="A50" s="88" t="s">
        <v>371</v>
      </c>
      <c r="B50" s="96" t="s">
        <v>383</v>
      </c>
      <c r="C50" s="96" t="e">
        <f>CONCATENATE(ROUND(#REF!,2)," млн.руб.")</f>
        <v>#REF!</v>
      </c>
      <c r="D50" s="97"/>
      <c r="E50" s="97" t="s">
        <v>469</v>
      </c>
      <c r="F50" s="97"/>
      <c r="G50" s="97"/>
      <c r="H50" s="97"/>
      <c r="I50" s="97"/>
      <c r="J50" s="97"/>
      <c r="K50" s="97"/>
      <c r="L50" s="97"/>
      <c r="M50" s="97"/>
      <c r="N50" s="97"/>
      <c r="O50" s="97"/>
      <c r="P50" s="97"/>
      <c r="Q50" s="97"/>
      <c r="R50" s="97"/>
      <c r="S50" s="97"/>
      <c r="T50" s="97"/>
      <c r="U50" s="97"/>
      <c r="V50" s="97"/>
    </row>
    <row r="51" spans="1:22" ht="71.25" hidden="1" customHeight="1" x14ac:dyDescent="0.25">
      <c r="A51" s="88" t="s">
        <v>339</v>
      </c>
      <c r="B51" s="96" t="s">
        <v>384</v>
      </c>
      <c r="C51" s="96" t="e">
        <f>CONCATENATE(ROUND(#REF!,2)," млн.руб.")</f>
        <v>#REF!</v>
      </c>
      <c r="D51" s="97"/>
      <c r="E51" s="97" t="s">
        <v>469</v>
      </c>
      <c r="F51" s="97"/>
      <c r="G51" s="97"/>
      <c r="H51" s="97"/>
      <c r="I51" s="97"/>
      <c r="J51" s="97"/>
      <c r="K51" s="97"/>
      <c r="L51" s="97"/>
      <c r="M51" s="97"/>
      <c r="N51" s="97"/>
      <c r="O51" s="97"/>
      <c r="P51" s="97"/>
      <c r="Q51" s="97"/>
      <c r="R51" s="97"/>
      <c r="S51" s="97"/>
      <c r="T51" s="97"/>
      <c r="U51" s="97"/>
      <c r="V51" s="97"/>
    </row>
    <row r="52" spans="1:22" x14ac:dyDescent="0.25">
      <c r="A52" s="97"/>
      <c r="B52" s="97"/>
      <c r="C52" s="173"/>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3"/>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3"/>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3"/>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3"/>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3"/>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3"/>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3"/>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3"/>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3"/>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3"/>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3"/>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3"/>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3"/>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3"/>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3"/>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3"/>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3"/>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3"/>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3"/>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3"/>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3"/>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3"/>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3"/>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3"/>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3"/>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3"/>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3"/>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3"/>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3"/>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3"/>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3"/>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3"/>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3"/>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3"/>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3"/>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3"/>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3"/>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3"/>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3"/>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3"/>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3"/>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3"/>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3"/>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3"/>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3"/>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3"/>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3"/>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3"/>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3"/>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3"/>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3"/>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3"/>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3"/>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3"/>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3"/>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3"/>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3"/>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3"/>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3"/>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3"/>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3"/>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3"/>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3"/>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3"/>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3"/>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3"/>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3"/>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3"/>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3"/>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3"/>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3"/>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3"/>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3"/>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3"/>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3"/>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3"/>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3"/>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3"/>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3"/>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3"/>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3"/>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3"/>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3"/>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3"/>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3"/>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3"/>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3"/>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3"/>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3"/>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3"/>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3"/>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3"/>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3"/>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3"/>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3"/>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3"/>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3"/>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3"/>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3"/>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3"/>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3"/>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3"/>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3"/>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3"/>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3"/>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3"/>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3"/>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3"/>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3"/>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3"/>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3"/>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3"/>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3"/>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3"/>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3"/>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3"/>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3"/>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3"/>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3"/>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3"/>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3"/>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3"/>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3"/>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3"/>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3"/>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3"/>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3"/>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3"/>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3"/>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3"/>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3"/>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3"/>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3"/>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3"/>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3"/>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3"/>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3"/>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3"/>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3"/>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3"/>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3"/>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3"/>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3"/>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3"/>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3"/>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3"/>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3"/>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3"/>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3"/>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3"/>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3"/>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3"/>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3"/>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3"/>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3"/>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3"/>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3"/>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3"/>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3"/>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3"/>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3"/>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3"/>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3"/>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3"/>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3"/>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3"/>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3"/>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3"/>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3"/>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3"/>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3"/>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3"/>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3"/>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3"/>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3"/>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3"/>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3"/>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3"/>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3"/>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3"/>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3"/>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3"/>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3"/>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3"/>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3"/>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3"/>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3"/>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3"/>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3"/>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3"/>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3"/>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3"/>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3"/>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3"/>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3"/>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3"/>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3"/>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3"/>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3"/>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3"/>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3"/>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3"/>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3"/>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3"/>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3"/>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3"/>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3"/>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3"/>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3"/>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3"/>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3"/>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3"/>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3"/>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3"/>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3"/>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3"/>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3"/>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3"/>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3"/>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3"/>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3"/>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3"/>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3"/>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3"/>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3"/>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3"/>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3"/>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3"/>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3"/>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3"/>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3"/>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3"/>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3"/>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3"/>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3"/>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3"/>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3"/>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3"/>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3"/>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3"/>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3"/>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3"/>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3"/>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3"/>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3"/>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3"/>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3"/>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3"/>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3"/>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3"/>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3"/>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3"/>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3"/>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3"/>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3"/>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3"/>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3"/>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3"/>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3"/>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3"/>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3"/>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3"/>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3"/>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3"/>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3"/>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3"/>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3"/>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3"/>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3"/>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3"/>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3"/>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3"/>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3"/>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3"/>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3"/>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3"/>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3"/>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3"/>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3"/>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3"/>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3"/>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3"/>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3"/>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3"/>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3"/>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3"/>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3"/>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3"/>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31" sqref="J31:K31"/>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3" t="str">
        <f>'1. паспорт местоположение'!A5:C5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16"/>
      <c r="B5" s="16"/>
      <c r="C5" s="16"/>
      <c r="D5" s="16"/>
      <c r="E5" s="16"/>
      <c r="F5" s="16"/>
      <c r="AC5" s="1"/>
    </row>
    <row r="6" spans="1:29"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5" t="str">
        <f>'1. паспорт местоположение'!A12:C12</f>
        <v>O_23-1261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2" t="str">
        <f>'1. паспорт местоположение'!A15:C15</f>
        <v>Строительство ЛЭП 0,4 кВ от ТП 034-10, организация системы учета электроэнергии г. Гурьевск, Пражский бульвар</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16"/>
      <c r="AB17" s="16"/>
    </row>
    <row r="18" spans="1:32" x14ac:dyDescent="0.25">
      <c r="A18" s="505" t="s">
        <v>359</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row>
    <row r="19" spans="1:32" x14ac:dyDescent="0.25">
      <c r="A19" s="16"/>
      <c r="B19" s="16"/>
      <c r="C19" s="16"/>
      <c r="D19" s="16"/>
      <c r="E19" s="16"/>
      <c r="F19" s="16"/>
      <c r="AB19" s="16"/>
    </row>
    <row r="20" spans="1:32" ht="33" customHeight="1" x14ac:dyDescent="0.25">
      <c r="A20" s="506" t="s">
        <v>181</v>
      </c>
      <c r="B20" s="506" t="s">
        <v>180</v>
      </c>
      <c r="C20" s="501" t="s">
        <v>179</v>
      </c>
      <c r="D20" s="501"/>
      <c r="E20" s="509" t="s">
        <v>178</v>
      </c>
      <c r="F20" s="509"/>
      <c r="G20" s="510" t="s">
        <v>604</v>
      </c>
      <c r="H20" s="502" t="s">
        <v>605</v>
      </c>
      <c r="I20" s="503"/>
      <c r="J20" s="503"/>
      <c r="K20" s="503"/>
      <c r="L20" s="502" t="s">
        <v>606</v>
      </c>
      <c r="M20" s="503"/>
      <c r="N20" s="503"/>
      <c r="O20" s="503"/>
      <c r="P20" s="502" t="s">
        <v>607</v>
      </c>
      <c r="Q20" s="503"/>
      <c r="R20" s="503"/>
      <c r="S20" s="503"/>
      <c r="T20" s="502" t="s">
        <v>608</v>
      </c>
      <c r="U20" s="503"/>
      <c r="V20" s="503"/>
      <c r="W20" s="503"/>
      <c r="X20" s="502" t="s">
        <v>609</v>
      </c>
      <c r="Y20" s="503"/>
      <c r="Z20" s="503"/>
      <c r="AA20" s="503"/>
      <c r="AB20" s="513" t="s">
        <v>177</v>
      </c>
      <c r="AC20" s="513"/>
      <c r="AD20" s="23"/>
      <c r="AE20" s="23"/>
      <c r="AF20" s="23"/>
    </row>
    <row r="21" spans="1:32" ht="99.75" customHeight="1" x14ac:dyDescent="0.25">
      <c r="A21" s="507"/>
      <c r="B21" s="507"/>
      <c r="C21" s="501"/>
      <c r="D21" s="501"/>
      <c r="E21" s="509"/>
      <c r="F21" s="509"/>
      <c r="G21" s="511"/>
      <c r="H21" s="501" t="s">
        <v>2</v>
      </c>
      <c r="I21" s="501"/>
      <c r="J21" s="501" t="s">
        <v>9</v>
      </c>
      <c r="K21" s="501"/>
      <c r="L21" s="501" t="s">
        <v>2</v>
      </c>
      <c r="M21" s="501"/>
      <c r="N21" s="501" t="s">
        <v>9</v>
      </c>
      <c r="O21" s="501"/>
      <c r="P21" s="501" t="s">
        <v>2</v>
      </c>
      <c r="Q21" s="501"/>
      <c r="R21" s="501" t="s">
        <v>9</v>
      </c>
      <c r="S21" s="501"/>
      <c r="T21" s="501" t="s">
        <v>2</v>
      </c>
      <c r="U21" s="501"/>
      <c r="V21" s="501" t="s">
        <v>9</v>
      </c>
      <c r="W21" s="501"/>
      <c r="X21" s="501" t="s">
        <v>2</v>
      </c>
      <c r="Y21" s="501"/>
      <c r="Z21" s="501" t="s">
        <v>9</v>
      </c>
      <c r="AA21" s="501"/>
      <c r="AB21" s="513"/>
      <c r="AC21" s="513"/>
    </row>
    <row r="22" spans="1:32" ht="89.25" customHeight="1" x14ac:dyDescent="0.25">
      <c r="A22" s="508"/>
      <c r="B22" s="508"/>
      <c r="C22" s="403" t="s">
        <v>2</v>
      </c>
      <c r="D22" s="403" t="s">
        <v>176</v>
      </c>
      <c r="E22" s="404" t="s">
        <v>610</v>
      </c>
      <c r="F22" s="404" t="s">
        <v>611</v>
      </c>
      <c r="G22" s="512"/>
      <c r="H22" s="405" t="s">
        <v>340</v>
      </c>
      <c r="I22" s="405" t="s">
        <v>341</v>
      </c>
      <c r="J22" s="405" t="s">
        <v>340</v>
      </c>
      <c r="K22" s="405" t="s">
        <v>341</v>
      </c>
      <c r="L22" s="405" t="s">
        <v>340</v>
      </c>
      <c r="M22" s="405" t="s">
        <v>341</v>
      </c>
      <c r="N22" s="405" t="s">
        <v>340</v>
      </c>
      <c r="O22" s="405" t="s">
        <v>341</v>
      </c>
      <c r="P22" s="405" t="s">
        <v>340</v>
      </c>
      <c r="Q22" s="405" t="s">
        <v>341</v>
      </c>
      <c r="R22" s="405" t="s">
        <v>340</v>
      </c>
      <c r="S22" s="405" t="s">
        <v>341</v>
      </c>
      <c r="T22" s="405" t="s">
        <v>340</v>
      </c>
      <c r="U22" s="405" t="s">
        <v>341</v>
      </c>
      <c r="V22" s="405" t="s">
        <v>340</v>
      </c>
      <c r="W22" s="405" t="s">
        <v>341</v>
      </c>
      <c r="X22" s="405" t="s">
        <v>340</v>
      </c>
      <c r="Y22" s="405" t="s">
        <v>341</v>
      </c>
      <c r="Z22" s="405" t="s">
        <v>340</v>
      </c>
      <c r="AA22" s="405" t="s">
        <v>341</v>
      </c>
      <c r="AB22" s="403" t="s">
        <v>2</v>
      </c>
      <c r="AC22" s="403" t="s">
        <v>9</v>
      </c>
    </row>
    <row r="23" spans="1:32" ht="19.5" customHeight="1" x14ac:dyDescent="0.25">
      <c r="A23" s="185">
        <v>1</v>
      </c>
      <c r="B23" s="185">
        <v>2</v>
      </c>
      <c r="C23" s="406">
        <v>3</v>
      </c>
      <c r="D23" s="406">
        <v>4</v>
      </c>
      <c r="E23" s="406">
        <v>5</v>
      </c>
      <c r="F23" s="406">
        <v>6</v>
      </c>
      <c r="G23" s="406">
        <v>7</v>
      </c>
      <c r="H23" s="406">
        <v>8</v>
      </c>
      <c r="I23" s="406">
        <v>9</v>
      </c>
      <c r="J23" s="406">
        <v>10</v>
      </c>
      <c r="K23" s="406">
        <v>11</v>
      </c>
      <c r="L23" s="406">
        <v>12</v>
      </c>
      <c r="M23" s="406">
        <v>13</v>
      </c>
      <c r="N23" s="406">
        <v>14</v>
      </c>
      <c r="O23" s="406">
        <v>15</v>
      </c>
      <c r="P23" s="406">
        <v>16</v>
      </c>
      <c r="Q23" s="406">
        <v>17</v>
      </c>
      <c r="R23" s="406">
        <v>18</v>
      </c>
      <c r="S23" s="406">
        <v>19</v>
      </c>
      <c r="T23" s="406">
        <v>20</v>
      </c>
      <c r="U23" s="406">
        <v>21</v>
      </c>
      <c r="V23" s="406">
        <v>22</v>
      </c>
      <c r="W23" s="406">
        <v>23</v>
      </c>
      <c r="X23" s="406">
        <v>24</v>
      </c>
      <c r="Y23" s="406">
        <v>25</v>
      </c>
      <c r="Z23" s="406">
        <v>26</v>
      </c>
      <c r="AA23" s="406">
        <v>27</v>
      </c>
      <c r="AB23" s="406">
        <v>28</v>
      </c>
      <c r="AC23" s="406">
        <v>29</v>
      </c>
    </row>
    <row r="24" spans="1:32" ht="47.25" customHeight="1" x14ac:dyDescent="0.25">
      <c r="A24" s="186">
        <v>1</v>
      </c>
      <c r="B24" s="187" t="s">
        <v>175</v>
      </c>
      <c r="C24" s="188">
        <f t="shared" ref="C24" si="0">SUM(C25:C29)</f>
        <v>0</v>
      </c>
      <c r="D24" s="188">
        <f t="shared" ref="D24:J24" si="1">SUM(D25:D29)</f>
        <v>0</v>
      </c>
      <c r="E24" s="407">
        <f t="shared" si="1"/>
        <v>0</v>
      </c>
      <c r="F24" s="407">
        <f t="shared" si="1"/>
        <v>0</v>
      </c>
      <c r="G24" s="400">
        <f t="shared" si="1"/>
        <v>0</v>
      </c>
      <c r="H24" s="188">
        <f t="shared" si="1"/>
        <v>0</v>
      </c>
      <c r="I24" s="188">
        <f t="shared" si="1"/>
        <v>0</v>
      </c>
      <c r="J24" s="188">
        <f t="shared" si="1"/>
        <v>0</v>
      </c>
      <c r="K24" s="188">
        <f t="shared" ref="K24" si="2">SUM(K25:K29)</f>
        <v>0</v>
      </c>
      <c r="L24" s="188">
        <f t="shared" ref="L24:AA24" si="3">SUM(L25:L29)</f>
        <v>0</v>
      </c>
      <c r="M24" s="188">
        <f t="shared" si="3"/>
        <v>0</v>
      </c>
      <c r="N24" s="188">
        <f t="shared" si="3"/>
        <v>0</v>
      </c>
      <c r="O24" s="188">
        <f t="shared" si="3"/>
        <v>0</v>
      </c>
      <c r="P24" s="188">
        <f t="shared" si="3"/>
        <v>0</v>
      </c>
      <c r="Q24" s="188">
        <f t="shared" si="3"/>
        <v>0</v>
      </c>
      <c r="R24" s="188">
        <f t="shared" si="3"/>
        <v>0</v>
      </c>
      <c r="S24" s="188">
        <f t="shared" si="3"/>
        <v>0</v>
      </c>
      <c r="T24" s="188">
        <f t="shared" si="3"/>
        <v>0</v>
      </c>
      <c r="U24" s="188">
        <f t="shared" si="3"/>
        <v>0</v>
      </c>
      <c r="V24" s="188">
        <f t="shared" si="3"/>
        <v>0</v>
      </c>
      <c r="W24" s="188">
        <f t="shared" si="3"/>
        <v>0</v>
      </c>
      <c r="X24" s="188">
        <f t="shared" si="3"/>
        <v>0</v>
      </c>
      <c r="Y24" s="188">
        <f t="shared" si="3"/>
        <v>0</v>
      </c>
      <c r="Z24" s="188">
        <f t="shared" si="3"/>
        <v>0</v>
      </c>
      <c r="AA24" s="188">
        <f t="shared" si="3"/>
        <v>0</v>
      </c>
      <c r="AB24" s="407">
        <f>H24+L24+P24+T24+X24</f>
        <v>0</v>
      </c>
      <c r="AC24" s="402">
        <f>J24+N24+R24+V24+Z24</f>
        <v>0</v>
      </c>
    </row>
    <row r="25" spans="1:32" ht="24" customHeight="1" x14ac:dyDescent="0.25">
      <c r="A25" s="190" t="s">
        <v>174</v>
      </c>
      <c r="B25" s="191" t="s">
        <v>173</v>
      </c>
      <c r="C25" s="189">
        <v>0</v>
      </c>
      <c r="D25" s="189">
        <v>0</v>
      </c>
      <c r="E25" s="408">
        <v>0</v>
      </c>
      <c r="F25" s="408">
        <v>0</v>
      </c>
      <c r="G25" s="401">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407">
        <f t="shared" ref="AB25:AB64" si="4">H25+L25+P25+T25+X25</f>
        <v>0</v>
      </c>
      <c r="AC25" s="402">
        <f t="shared" ref="AC25:AC64" si="5">J25+N25+R25+V25+Z25</f>
        <v>0</v>
      </c>
    </row>
    <row r="26" spans="1:32" x14ac:dyDescent="0.25">
      <c r="A26" s="190" t="s">
        <v>172</v>
      </c>
      <c r="B26" s="191" t="s">
        <v>171</v>
      </c>
      <c r="C26" s="189">
        <v>0</v>
      </c>
      <c r="D26" s="189">
        <v>0</v>
      </c>
      <c r="E26" s="408">
        <v>0</v>
      </c>
      <c r="F26" s="408">
        <v>0</v>
      </c>
      <c r="G26" s="401">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407">
        <f t="shared" si="4"/>
        <v>0</v>
      </c>
      <c r="AC26" s="402">
        <f t="shared" si="5"/>
        <v>0</v>
      </c>
    </row>
    <row r="27" spans="1:32" ht="31.5" x14ac:dyDescent="0.25">
      <c r="A27" s="190" t="s">
        <v>170</v>
      </c>
      <c r="B27" s="191" t="s">
        <v>321</v>
      </c>
      <c r="C27" s="189">
        <v>0</v>
      </c>
      <c r="D27" s="189">
        <v>0</v>
      </c>
      <c r="E27" s="408">
        <v>0</v>
      </c>
      <c r="F27" s="408">
        <v>0</v>
      </c>
      <c r="G27" s="401">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407">
        <f t="shared" si="4"/>
        <v>0</v>
      </c>
      <c r="AC27" s="402">
        <f t="shared" si="5"/>
        <v>0</v>
      </c>
    </row>
    <row r="28" spans="1:32" x14ac:dyDescent="0.25">
      <c r="A28" s="190" t="s">
        <v>169</v>
      </c>
      <c r="B28" s="191" t="s">
        <v>398</v>
      </c>
      <c r="C28" s="189">
        <v>0</v>
      </c>
      <c r="D28" s="189">
        <v>0</v>
      </c>
      <c r="E28" s="408">
        <v>0</v>
      </c>
      <c r="F28" s="408">
        <v>0</v>
      </c>
      <c r="G28" s="401">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407">
        <f t="shared" si="4"/>
        <v>0</v>
      </c>
      <c r="AC28" s="402">
        <f t="shared" si="5"/>
        <v>0</v>
      </c>
    </row>
    <row r="29" spans="1:32" x14ac:dyDescent="0.25">
      <c r="A29" s="190" t="s">
        <v>168</v>
      </c>
      <c r="B29" s="22" t="s">
        <v>167</v>
      </c>
      <c r="C29" s="189">
        <v>0</v>
      </c>
      <c r="D29" s="189">
        <v>0</v>
      </c>
      <c r="E29" s="408">
        <v>0</v>
      </c>
      <c r="F29" s="408">
        <v>0</v>
      </c>
      <c r="G29" s="401">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407">
        <f t="shared" si="4"/>
        <v>0</v>
      </c>
      <c r="AC29" s="402">
        <f t="shared" si="5"/>
        <v>0</v>
      </c>
    </row>
    <row r="30" spans="1:32" s="53" customFormat="1" ht="47.25" x14ac:dyDescent="0.25">
      <c r="A30" s="186" t="s">
        <v>61</v>
      </c>
      <c r="B30" s="187" t="s">
        <v>166</v>
      </c>
      <c r="C30" s="189">
        <f t="shared" ref="C30:J30" si="6">SUM(C31:C34)</f>
        <v>0</v>
      </c>
      <c r="D30" s="189">
        <f t="shared" si="6"/>
        <v>0</v>
      </c>
      <c r="E30" s="407">
        <f t="shared" si="6"/>
        <v>0</v>
      </c>
      <c r="F30" s="407">
        <f t="shared" si="6"/>
        <v>0</v>
      </c>
      <c r="G30" s="402">
        <f t="shared" si="6"/>
        <v>0</v>
      </c>
      <c r="H30" s="189">
        <f t="shared" si="6"/>
        <v>0</v>
      </c>
      <c r="I30" s="189">
        <f t="shared" si="6"/>
        <v>0</v>
      </c>
      <c r="J30" s="189">
        <f t="shared" si="6"/>
        <v>0.13832827</v>
      </c>
      <c r="K30" s="189">
        <f t="shared" ref="K30" si="7">SUM(K31:K34)</f>
        <v>0.13832827</v>
      </c>
      <c r="L30" s="189">
        <f t="shared" ref="L30:AA30" si="8">SUM(L31:L34)</f>
        <v>0</v>
      </c>
      <c r="M30" s="189">
        <f t="shared" si="8"/>
        <v>0</v>
      </c>
      <c r="N30" s="189">
        <f t="shared" si="8"/>
        <v>0</v>
      </c>
      <c r="O30" s="189">
        <f t="shared" si="8"/>
        <v>0</v>
      </c>
      <c r="P30" s="189">
        <f t="shared" si="8"/>
        <v>0</v>
      </c>
      <c r="Q30" s="189">
        <f t="shared" si="8"/>
        <v>0</v>
      </c>
      <c r="R30" s="189">
        <f t="shared" si="8"/>
        <v>0</v>
      </c>
      <c r="S30" s="189">
        <f t="shared" si="8"/>
        <v>0</v>
      </c>
      <c r="T30" s="189">
        <f t="shared" si="8"/>
        <v>0</v>
      </c>
      <c r="U30" s="189">
        <f t="shared" si="8"/>
        <v>0</v>
      </c>
      <c r="V30" s="189">
        <f t="shared" si="8"/>
        <v>0</v>
      </c>
      <c r="W30" s="189">
        <f t="shared" si="8"/>
        <v>0</v>
      </c>
      <c r="X30" s="189">
        <f t="shared" si="8"/>
        <v>0</v>
      </c>
      <c r="Y30" s="189">
        <f t="shared" si="8"/>
        <v>0</v>
      </c>
      <c r="Z30" s="189">
        <f t="shared" si="8"/>
        <v>0</v>
      </c>
      <c r="AA30" s="189">
        <f t="shared" si="8"/>
        <v>0</v>
      </c>
      <c r="AB30" s="407">
        <f t="shared" si="4"/>
        <v>0</v>
      </c>
      <c r="AC30" s="402">
        <f t="shared" si="5"/>
        <v>0.13832827</v>
      </c>
    </row>
    <row r="31" spans="1:32" x14ac:dyDescent="0.25">
      <c r="A31" s="186" t="s">
        <v>165</v>
      </c>
      <c r="B31" s="191" t="s">
        <v>164</v>
      </c>
      <c r="C31" s="189">
        <v>0</v>
      </c>
      <c r="D31" s="189">
        <v>0</v>
      </c>
      <c r="E31" s="408">
        <v>0</v>
      </c>
      <c r="F31" s="408">
        <v>0</v>
      </c>
      <c r="G31" s="401">
        <v>0</v>
      </c>
      <c r="H31" s="192">
        <v>0</v>
      </c>
      <c r="I31" s="192">
        <v>0</v>
      </c>
      <c r="J31" s="192">
        <v>0.13832827</v>
      </c>
      <c r="K31" s="192">
        <v>0.13832827</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407">
        <f t="shared" si="4"/>
        <v>0</v>
      </c>
      <c r="AC31" s="402">
        <f t="shared" si="5"/>
        <v>0.13832827</v>
      </c>
    </row>
    <row r="32" spans="1:32" ht="31.5" x14ac:dyDescent="0.25">
      <c r="A32" s="186" t="s">
        <v>163</v>
      </c>
      <c r="B32" s="191" t="s">
        <v>162</v>
      </c>
      <c r="C32" s="189">
        <v>0</v>
      </c>
      <c r="D32" s="189">
        <v>0</v>
      </c>
      <c r="E32" s="408">
        <v>0</v>
      </c>
      <c r="F32" s="408">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407">
        <f t="shared" si="4"/>
        <v>0</v>
      </c>
      <c r="AC32" s="402">
        <f t="shared" si="5"/>
        <v>0</v>
      </c>
    </row>
    <row r="33" spans="1:29" x14ac:dyDescent="0.25">
      <c r="A33" s="186" t="s">
        <v>161</v>
      </c>
      <c r="B33" s="191" t="s">
        <v>160</v>
      </c>
      <c r="C33" s="189">
        <v>0</v>
      </c>
      <c r="D33" s="189">
        <v>0</v>
      </c>
      <c r="E33" s="408">
        <v>0</v>
      </c>
      <c r="F33" s="408">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407">
        <f t="shared" si="4"/>
        <v>0</v>
      </c>
      <c r="AC33" s="402">
        <f t="shared" si="5"/>
        <v>0</v>
      </c>
    </row>
    <row r="34" spans="1:29" x14ac:dyDescent="0.25">
      <c r="A34" s="186" t="s">
        <v>159</v>
      </c>
      <c r="B34" s="191" t="s">
        <v>158</v>
      </c>
      <c r="C34" s="189">
        <v>0</v>
      </c>
      <c r="D34" s="189">
        <v>0</v>
      </c>
      <c r="E34" s="408">
        <v>0</v>
      </c>
      <c r="F34" s="408">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407">
        <f t="shared" si="4"/>
        <v>0</v>
      </c>
      <c r="AC34" s="402">
        <f t="shared" si="5"/>
        <v>0</v>
      </c>
    </row>
    <row r="35" spans="1:29" s="53" customFormat="1" ht="31.5" x14ac:dyDescent="0.25">
      <c r="A35" s="186" t="s">
        <v>60</v>
      </c>
      <c r="B35" s="187" t="s">
        <v>157</v>
      </c>
      <c r="C35" s="189">
        <v>0</v>
      </c>
      <c r="D35" s="189">
        <v>0</v>
      </c>
      <c r="E35" s="408">
        <v>0</v>
      </c>
      <c r="F35" s="408">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407">
        <f t="shared" si="4"/>
        <v>0</v>
      </c>
      <c r="AC35" s="402">
        <f t="shared" si="5"/>
        <v>0</v>
      </c>
    </row>
    <row r="36" spans="1:29" ht="31.5" x14ac:dyDescent="0.25">
      <c r="A36" s="190" t="s">
        <v>156</v>
      </c>
      <c r="B36" s="193" t="s">
        <v>155</v>
      </c>
      <c r="C36" s="189">
        <v>0</v>
      </c>
      <c r="D36" s="189">
        <v>0</v>
      </c>
      <c r="E36" s="408">
        <v>0</v>
      </c>
      <c r="F36" s="408">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407">
        <f t="shared" si="4"/>
        <v>0</v>
      </c>
      <c r="AC36" s="402">
        <f t="shared" si="5"/>
        <v>0</v>
      </c>
    </row>
    <row r="37" spans="1:29" x14ac:dyDescent="0.25">
      <c r="A37" s="190" t="s">
        <v>154</v>
      </c>
      <c r="B37" s="193" t="s">
        <v>144</v>
      </c>
      <c r="C37" s="189">
        <v>0</v>
      </c>
      <c r="D37" s="189">
        <v>0</v>
      </c>
      <c r="E37" s="408">
        <v>0</v>
      </c>
      <c r="F37" s="408">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407">
        <f t="shared" si="4"/>
        <v>0</v>
      </c>
      <c r="AC37" s="402">
        <f t="shared" si="5"/>
        <v>0</v>
      </c>
    </row>
    <row r="38" spans="1:29" x14ac:dyDescent="0.25">
      <c r="A38" s="190" t="s">
        <v>153</v>
      </c>
      <c r="B38" s="193" t="s">
        <v>142</v>
      </c>
      <c r="C38" s="189">
        <v>0</v>
      </c>
      <c r="D38" s="189">
        <v>0</v>
      </c>
      <c r="E38" s="408">
        <v>0</v>
      </c>
      <c r="F38" s="408">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407">
        <f t="shared" si="4"/>
        <v>0</v>
      </c>
      <c r="AC38" s="402">
        <f t="shared" si="5"/>
        <v>0</v>
      </c>
    </row>
    <row r="39" spans="1:29" ht="31.5" x14ac:dyDescent="0.25">
      <c r="A39" s="190" t="s">
        <v>152</v>
      </c>
      <c r="B39" s="191" t="s">
        <v>140</v>
      </c>
      <c r="C39" s="189">
        <v>0</v>
      </c>
      <c r="D39" s="189">
        <v>0</v>
      </c>
      <c r="E39" s="408">
        <v>0</v>
      </c>
      <c r="F39" s="408">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407">
        <f t="shared" si="4"/>
        <v>0</v>
      </c>
      <c r="AC39" s="402">
        <f t="shared" si="5"/>
        <v>0</v>
      </c>
    </row>
    <row r="40" spans="1:29" ht="31.5" x14ac:dyDescent="0.25">
      <c r="A40" s="190" t="s">
        <v>151</v>
      </c>
      <c r="B40" s="191" t="s">
        <v>138</v>
      </c>
      <c r="C40" s="189">
        <v>0</v>
      </c>
      <c r="D40" s="189">
        <v>0</v>
      </c>
      <c r="E40" s="408">
        <v>0</v>
      </c>
      <c r="F40" s="408">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407">
        <f t="shared" si="4"/>
        <v>0</v>
      </c>
      <c r="AC40" s="402">
        <f t="shared" si="5"/>
        <v>0</v>
      </c>
    </row>
    <row r="41" spans="1:29" x14ac:dyDescent="0.25">
      <c r="A41" s="190" t="s">
        <v>150</v>
      </c>
      <c r="B41" s="191" t="s">
        <v>136</v>
      </c>
      <c r="C41" s="189">
        <v>0</v>
      </c>
      <c r="D41" s="189">
        <v>0</v>
      </c>
      <c r="E41" s="408">
        <v>0</v>
      </c>
      <c r="F41" s="408">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407">
        <f t="shared" si="4"/>
        <v>0</v>
      </c>
      <c r="AC41" s="402">
        <f t="shared" si="5"/>
        <v>0</v>
      </c>
    </row>
    <row r="42" spans="1:29" ht="18.75" x14ac:dyDescent="0.25">
      <c r="A42" s="190" t="s">
        <v>149</v>
      </c>
      <c r="B42" s="193" t="s">
        <v>534</v>
      </c>
      <c r="C42" s="189">
        <v>0</v>
      </c>
      <c r="D42" s="189">
        <v>0</v>
      </c>
      <c r="E42" s="408">
        <v>0</v>
      </c>
      <c r="F42" s="408">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407">
        <f t="shared" si="4"/>
        <v>0</v>
      </c>
      <c r="AC42" s="402">
        <f t="shared" si="5"/>
        <v>0</v>
      </c>
    </row>
    <row r="43" spans="1:29" s="53" customFormat="1" x14ac:dyDescent="0.25">
      <c r="A43" s="186" t="s">
        <v>59</v>
      </c>
      <c r="B43" s="187" t="s">
        <v>148</v>
      </c>
      <c r="C43" s="189">
        <v>0</v>
      </c>
      <c r="D43" s="189">
        <v>0</v>
      </c>
      <c r="E43" s="408">
        <v>0</v>
      </c>
      <c r="F43" s="408">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407">
        <f t="shared" si="4"/>
        <v>0</v>
      </c>
      <c r="AC43" s="402">
        <f t="shared" si="5"/>
        <v>0</v>
      </c>
    </row>
    <row r="44" spans="1:29" x14ac:dyDescent="0.25">
      <c r="A44" s="190" t="s">
        <v>147</v>
      </c>
      <c r="B44" s="191" t="s">
        <v>146</v>
      </c>
      <c r="C44" s="189">
        <v>0</v>
      </c>
      <c r="D44" s="189">
        <v>0</v>
      </c>
      <c r="E44" s="408">
        <v>0</v>
      </c>
      <c r="F44" s="408">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407">
        <f t="shared" si="4"/>
        <v>0</v>
      </c>
      <c r="AC44" s="402">
        <f t="shared" si="5"/>
        <v>0</v>
      </c>
    </row>
    <row r="45" spans="1:29" x14ac:dyDescent="0.25">
      <c r="A45" s="190" t="s">
        <v>145</v>
      </c>
      <c r="B45" s="191" t="s">
        <v>144</v>
      </c>
      <c r="C45" s="189">
        <v>0</v>
      </c>
      <c r="D45" s="189">
        <v>0</v>
      </c>
      <c r="E45" s="408">
        <v>0</v>
      </c>
      <c r="F45" s="408">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407">
        <f t="shared" si="4"/>
        <v>0</v>
      </c>
      <c r="AC45" s="402">
        <f t="shared" si="5"/>
        <v>0</v>
      </c>
    </row>
    <row r="46" spans="1:29" x14ac:dyDescent="0.25">
      <c r="A46" s="190" t="s">
        <v>143</v>
      </c>
      <c r="B46" s="191" t="s">
        <v>142</v>
      </c>
      <c r="C46" s="189">
        <v>0</v>
      </c>
      <c r="D46" s="189">
        <v>0</v>
      </c>
      <c r="E46" s="408">
        <v>0</v>
      </c>
      <c r="F46" s="408">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407">
        <f t="shared" si="4"/>
        <v>0</v>
      </c>
      <c r="AC46" s="402">
        <f t="shared" si="5"/>
        <v>0</v>
      </c>
    </row>
    <row r="47" spans="1:29" ht="31.5" x14ac:dyDescent="0.25">
      <c r="A47" s="190" t="s">
        <v>141</v>
      </c>
      <c r="B47" s="191" t="s">
        <v>140</v>
      </c>
      <c r="C47" s="189">
        <v>0</v>
      </c>
      <c r="D47" s="189">
        <v>0</v>
      </c>
      <c r="E47" s="408">
        <v>0</v>
      </c>
      <c r="F47" s="408">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407">
        <f t="shared" si="4"/>
        <v>0</v>
      </c>
      <c r="AC47" s="402">
        <f t="shared" si="5"/>
        <v>0</v>
      </c>
    </row>
    <row r="48" spans="1:29" ht="31.5" x14ac:dyDescent="0.25">
      <c r="A48" s="190" t="s">
        <v>139</v>
      </c>
      <c r="B48" s="191" t="s">
        <v>138</v>
      </c>
      <c r="C48" s="189">
        <v>0</v>
      </c>
      <c r="D48" s="189">
        <v>0</v>
      </c>
      <c r="E48" s="408">
        <v>0</v>
      </c>
      <c r="F48" s="408">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407">
        <f t="shared" si="4"/>
        <v>0</v>
      </c>
      <c r="AC48" s="402">
        <f t="shared" si="5"/>
        <v>0</v>
      </c>
    </row>
    <row r="49" spans="1:31" x14ac:dyDescent="0.25">
      <c r="A49" s="190" t="s">
        <v>137</v>
      </c>
      <c r="B49" s="191" t="s">
        <v>136</v>
      </c>
      <c r="C49" s="189">
        <v>0</v>
      </c>
      <c r="D49" s="189">
        <v>0</v>
      </c>
      <c r="E49" s="408">
        <v>0</v>
      </c>
      <c r="F49" s="408">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407">
        <f t="shared" si="4"/>
        <v>0</v>
      </c>
      <c r="AC49" s="402">
        <f t="shared" si="5"/>
        <v>0</v>
      </c>
    </row>
    <row r="50" spans="1:31" ht="18.75" x14ac:dyDescent="0.25">
      <c r="A50" s="190" t="s">
        <v>135</v>
      </c>
      <c r="B50" s="193" t="s">
        <v>534</v>
      </c>
      <c r="C50" s="189">
        <v>0</v>
      </c>
      <c r="D50" s="189">
        <v>0</v>
      </c>
      <c r="E50" s="408">
        <v>0</v>
      </c>
      <c r="F50" s="408">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407">
        <f t="shared" si="4"/>
        <v>0</v>
      </c>
      <c r="AC50" s="402">
        <f t="shared" si="5"/>
        <v>0</v>
      </c>
    </row>
    <row r="51" spans="1:31" s="53" customFormat="1" ht="35.25" customHeight="1" x14ac:dyDescent="0.25">
      <c r="A51" s="186" t="s">
        <v>57</v>
      </c>
      <c r="B51" s="187" t="s">
        <v>134</v>
      </c>
      <c r="C51" s="189">
        <v>0</v>
      </c>
      <c r="D51" s="189">
        <v>0</v>
      </c>
      <c r="E51" s="408">
        <v>0</v>
      </c>
      <c r="F51" s="408">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407">
        <f t="shared" si="4"/>
        <v>0</v>
      </c>
      <c r="AC51" s="402">
        <f t="shared" si="5"/>
        <v>0</v>
      </c>
    </row>
    <row r="52" spans="1:31" x14ac:dyDescent="0.25">
      <c r="A52" s="190" t="s">
        <v>133</v>
      </c>
      <c r="B52" s="191" t="s">
        <v>132</v>
      </c>
      <c r="C52" s="189">
        <v>0</v>
      </c>
      <c r="D52" s="189">
        <v>0</v>
      </c>
      <c r="E52" s="408">
        <v>0</v>
      </c>
      <c r="F52" s="408">
        <v>0</v>
      </c>
      <c r="G52" s="192">
        <v>0</v>
      </c>
      <c r="H52" s="192">
        <v>0</v>
      </c>
      <c r="I52" s="192">
        <v>0</v>
      </c>
      <c r="J52" s="192">
        <v>0</v>
      </c>
      <c r="K52" s="192">
        <v>0</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407">
        <f t="shared" si="4"/>
        <v>0</v>
      </c>
      <c r="AC52" s="402">
        <f t="shared" si="5"/>
        <v>0</v>
      </c>
      <c r="AE52" s="333"/>
    </row>
    <row r="53" spans="1:31" x14ac:dyDescent="0.25">
      <c r="A53" s="190" t="s">
        <v>131</v>
      </c>
      <c r="B53" s="191" t="s">
        <v>125</v>
      </c>
      <c r="C53" s="189">
        <v>0</v>
      </c>
      <c r="D53" s="189">
        <v>0</v>
      </c>
      <c r="E53" s="408">
        <v>0</v>
      </c>
      <c r="F53" s="408">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407">
        <f t="shared" si="4"/>
        <v>0</v>
      </c>
      <c r="AC53" s="402">
        <f t="shared" si="5"/>
        <v>0</v>
      </c>
    </row>
    <row r="54" spans="1:31" x14ac:dyDescent="0.25">
      <c r="A54" s="190" t="s">
        <v>130</v>
      </c>
      <c r="B54" s="193" t="s">
        <v>124</v>
      </c>
      <c r="C54" s="189">
        <v>0</v>
      </c>
      <c r="D54" s="189">
        <v>0</v>
      </c>
      <c r="E54" s="408">
        <v>0</v>
      </c>
      <c r="F54" s="408">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407">
        <f t="shared" si="4"/>
        <v>0</v>
      </c>
      <c r="AC54" s="402">
        <f t="shared" si="5"/>
        <v>0</v>
      </c>
    </row>
    <row r="55" spans="1:31" x14ac:dyDescent="0.25">
      <c r="A55" s="190" t="s">
        <v>129</v>
      </c>
      <c r="B55" s="193" t="s">
        <v>123</v>
      </c>
      <c r="C55" s="189">
        <v>0</v>
      </c>
      <c r="D55" s="189">
        <v>0</v>
      </c>
      <c r="E55" s="408">
        <v>0</v>
      </c>
      <c r="F55" s="408">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407">
        <f t="shared" si="4"/>
        <v>0</v>
      </c>
      <c r="AC55" s="402">
        <f t="shared" si="5"/>
        <v>0</v>
      </c>
    </row>
    <row r="56" spans="1:31" x14ac:dyDescent="0.25">
      <c r="A56" s="190" t="s">
        <v>128</v>
      </c>
      <c r="B56" s="193" t="s">
        <v>122</v>
      </c>
      <c r="C56" s="189">
        <v>0</v>
      </c>
      <c r="D56" s="189">
        <v>0</v>
      </c>
      <c r="E56" s="408">
        <v>0</v>
      </c>
      <c r="F56" s="408">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407">
        <f t="shared" si="4"/>
        <v>0</v>
      </c>
      <c r="AC56" s="402">
        <f t="shared" si="5"/>
        <v>0</v>
      </c>
    </row>
    <row r="57" spans="1:31" ht="18.75" x14ac:dyDescent="0.25">
      <c r="A57" s="190" t="s">
        <v>127</v>
      </c>
      <c r="B57" s="193" t="s">
        <v>534</v>
      </c>
      <c r="C57" s="189">
        <v>0</v>
      </c>
      <c r="D57" s="189">
        <v>0</v>
      </c>
      <c r="E57" s="408">
        <v>0</v>
      </c>
      <c r="F57" s="408">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407">
        <f t="shared" si="4"/>
        <v>0</v>
      </c>
      <c r="AC57" s="402">
        <f t="shared" si="5"/>
        <v>0</v>
      </c>
    </row>
    <row r="58" spans="1:31" s="53" customFormat="1" ht="36.75" customHeight="1" x14ac:dyDescent="0.25">
      <c r="A58" s="186" t="s">
        <v>56</v>
      </c>
      <c r="B58" s="194" t="s">
        <v>201</v>
      </c>
      <c r="C58" s="189">
        <v>0</v>
      </c>
      <c r="D58" s="189">
        <v>0</v>
      </c>
      <c r="E58" s="408">
        <v>0</v>
      </c>
      <c r="F58" s="408">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407">
        <f t="shared" si="4"/>
        <v>0</v>
      </c>
      <c r="AC58" s="402">
        <f t="shared" si="5"/>
        <v>0</v>
      </c>
    </row>
    <row r="59" spans="1:31" s="53" customFormat="1" x14ac:dyDescent="0.25">
      <c r="A59" s="186" t="s">
        <v>54</v>
      </c>
      <c r="B59" s="187" t="s">
        <v>126</v>
      </c>
      <c r="C59" s="189">
        <v>0</v>
      </c>
      <c r="D59" s="189">
        <v>0</v>
      </c>
      <c r="E59" s="408">
        <v>0</v>
      </c>
      <c r="F59" s="408">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407">
        <f t="shared" si="4"/>
        <v>0</v>
      </c>
      <c r="AC59" s="402">
        <f t="shared" si="5"/>
        <v>0</v>
      </c>
    </row>
    <row r="60" spans="1:31" x14ac:dyDescent="0.25">
      <c r="A60" s="190" t="s">
        <v>195</v>
      </c>
      <c r="B60" s="129" t="s">
        <v>146</v>
      </c>
      <c r="C60" s="189">
        <v>0</v>
      </c>
      <c r="D60" s="189">
        <v>0</v>
      </c>
      <c r="E60" s="408">
        <v>0</v>
      </c>
      <c r="F60" s="408">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407">
        <f t="shared" si="4"/>
        <v>0</v>
      </c>
      <c r="AC60" s="402">
        <f t="shared" si="5"/>
        <v>0</v>
      </c>
    </row>
    <row r="61" spans="1:31" x14ac:dyDescent="0.25">
      <c r="A61" s="190" t="s">
        <v>196</v>
      </c>
      <c r="B61" s="129" t="s">
        <v>144</v>
      </c>
      <c r="C61" s="189">
        <v>0</v>
      </c>
      <c r="D61" s="189">
        <v>0</v>
      </c>
      <c r="E61" s="408">
        <v>0</v>
      </c>
      <c r="F61" s="408">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407">
        <f t="shared" si="4"/>
        <v>0</v>
      </c>
      <c r="AC61" s="402">
        <f t="shared" si="5"/>
        <v>0</v>
      </c>
    </row>
    <row r="62" spans="1:31" x14ac:dyDescent="0.25">
      <c r="A62" s="190" t="s">
        <v>197</v>
      </c>
      <c r="B62" s="129" t="s">
        <v>142</v>
      </c>
      <c r="C62" s="189">
        <v>0</v>
      </c>
      <c r="D62" s="189">
        <v>0</v>
      </c>
      <c r="E62" s="408">
        <v>0</v>
      </c>
      <c r="F62" s="408">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407">
        <f t="shared" si="4"/>
        <v>0</v>
      </c>
      <c r="AC62" s="402">
        <f t="shared" si="5"/>
        <v>0</v>
      </c>
    </row>
    <row r="63" spans="1:31" x14ac:dyDescent="0.25">
      <c r="A63" s="190" t="s">
        <v>198</v>
      </c>
      <c r="B63" s="129" t="s">
        <v>200</v>
      </c>
      <c r="C63" s="189">
        <v>0</v>
      </c>
      <c r="D63" s="189">
        <v>0</v>
      </c>
      <c r="E63" s="408">
        <v>0</v>
      </c>
      <c r="F63" s="408">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407">
        <f t="shared" si="4"/>
        <v>0</v>
      </c>
      <c r="AC63" s="402">
        <f t="shared" si="5"/>
        <v>0</v>
      </c>
    </row>
    <row r="64" spans="1:31" ht="18.75" x14ac:dyDescent="0.25">
      <c r="A64" s="190" t="s">
        <v>199</v>
      </c>
      <c r="B64" s="193" t="s">
        <v>535</v>
      </c>
      <c r="C64" s="189">
        <v>0</v>
      </c>
      <c r="D64" s="189">
        <v>0</v>
      </c>
      <c r="E64" s="408">
        <v>0</v>
      </c>
      <c r="F64" s="408">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407">
        <f t="shared" si="4"/>
        <v>0</v>
      </c>
      <c r="AC64" s="402">
        <f t="shared" si="5"/>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497"/>
      <c r="C66" s="497"/>
      <c r="D66" s="497"/>
      <c r="E66" s="497"/>
      <c r="F66" s="497"/>
      <c r="G66" s="497"/>
      <c r="H66" s="497"/>
      <c r="I66" s="497"/>
      <c r="J66" s="164"/>
      <c r="K66" s="164"/>
      <c r="L66" s="395"/>
      <c r="M66" s="395"/>
      <c r="N66" s="395"/>
      <c r="O66" s="395"/>
      <c r="P66" s="395"/>
      <c r="Q66" s="395"/>
      <c r="R66" s="395"/>
      <c r="S66" s="395"/>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498"/>
      <c r="C68" s="498"/>
      <c r="D68" s="498"/>
      <c r="E68" s="498"/>
      <c r="F68" s="498"/>
      <c r="G68" s="498"/>
      <c r="H68" s="498"/>
      <c r="I68" s="498"/>
      <c r="J68" s="165"/>
      <c r="K68" s="165"/>
      <c r="L68" s="396"/>
      <c r="M68" s="396"/>
      <c r="N68" s="396"/>
      <c r="O68" s="396"/>
      <c r="P68" s="396"/>
      <c r="Q68" s="396"/>
      <c r="R68" s="396"/>
      <c r="S68" s="396"/>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497"/>
      <c r="C70" s="497"/>
      <c r="D70" s="497"/>
      <c r="E70" s="497"/>
      <c r="F70" s="497"/>
      <c r="G70" s="497"/>
      <c r="H70" s="497"/>
      <c r="I70" s="497"/>
      <c r="J70" s="164"/>
      <c r="K70" s="164"/>
      <c r="L70" s="395"/>
      <c r="M70" s="395"/>
      <c r="N70" s="395"/>
      <c r="O70" s="395"/>
      <c r="P70" s="395"/>
      <c r="Q70" s="395"/>
      <c r="R70" s="395"/>
      <c r="S70" s="395"/>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497"/>
      <c r="C72" s="497"/>
      <c r="D72" s="497"/>
      <c r="E72" s="497"/>
      <c r="F72" s="497"/>
      <c r="G72" s="497"/>
      <c r="H72" s="497"/>
      <c r="I72" s="497"/>
      <c r="J72" s="164"/>
      <c r="K72" s="164"/>
      <c r="L72" s="395"/>
      <c r="M72" s="395"/>
      <c r="N72" s="395"/>
      <c r="O72" s="395"/>
      <c r="P72" s="395"/>
      <c r="Q72" s="395"/>
      <c r="R72" s="395"/>
      <c r="S72" s="395"/>
      <c r="T72" s="164"/>
      <c r="U72" s="164"/>
      <c r="V72" s="164"/>
      <c r="W72" s="164"/>
      <c r="X72" s="164"/>
      <c r="Y72" s="164"/>
      <c r="Z72" s="164"/>
      <c r="AA72" s="164"/>
      <c r="AB72" s="16"/>
    </row>
    <row r="73" spans="1:28" ht="32.25" customHeight="1" x14ac:dyDescent="0.25">
      <c r="A73" s="16"/>
      <c r="B73" s="498"/>
      <c r="C73" s="498"/>
      <c r="D73" s="498"/>
      <c r="E73" s="498"/>
      <c r="F73" s="498"/>
      <c r="G73" s="498"/>
      <c r="H73" s="498"/>
      <c r="I73" s="498"/>
      <c r="J73" s="165"/>
      <c r="K73" s="165"/>
      <c r="L73" s="396"/>
      <c r="M73" s="396"/>
      <c r="N73" s="396"/>
      <c r="O73" s="396"/>
      <c r="P73" s="396"/>
      <c r="Q73" s="396"/>
      <c r="R73" s="396"/>
      <c r="S73" s="396"/>
      <c r="T73" s="165"/>
      <c r="U73" s="165"/>
      <c r="V73" s="165"/>
      <c r="W73" s="165"/>
      <c r="X73" s="165"/>
      <c r="Y73" s="165"/>
      <c r="Z73" s="165"/>
      <c r="AA73" s="165"/>
      <c r="AB73" s="16"/>
    </row>
    <row r="74" spans="1:28" ht="51.75" customHeight="1" x14ac:dyDescent="0.25">
      <c r="A74" s="16"/>
      <c r="B74" s="497"/>
      <c r="C74" s="497"/>
      <c r="D74" s="497"/>
      <c r="E74" s="497"/>
      <c r="F74" s="497"/>
      <c r="G74" s="497"/>
      <c r="H74" s="497"/>
      <c r="I74" s="497"/>
      <c r="J74" s="164"/>
      <c r="K74" s="164"/>
      <c r="L74" s="395"/>
      <c r="M74" s="395"/>
      <c r="N74" s="395"/>
      <c r="O74" s="395"/>
      <c r="P74" s="395"/>
      <c r="Q74" s="395"/>
      <c r="R74" s="395"/>
      <c r="S74" s="395"/>
      <c r="T74" s="164"/>
      <c r="U74" s="164"/>
      <c r="V74" s="164"/>
      <c r="W74" s="164"/>
      <c r="X74" s="164"/>
      <c r="Y74" s="164"/>
      <c r="Z74" s="164"/>
      <c r="AA74" s="164"/>
      <c r="AB74" s="16"/>
    </row>
    <row r="75" spans="1:28" ht="21.75" customHeight="1" x14ac:dyDescent="0.25">
      <c r="A75" s="16"/>
      <c r="B75" s="500"/>
      <c r="C75" s="500"/>
      <c r="D75" s="500"/>
      <c r="E75" s="500"/>
      <c r="F75" s="500"/>
      <c r="G75" s="500"/>
      <c r="H75" s="500"/>
      <c r="I75" s="500"/>
      <c r="J75" s="162"/>
      <c r="K75" s="162"/>
      <c r="L75" s="398"/>
      <c r="M75" s="398"/>
      <c r="N75" s="398"/>
      <c r="O75" s="398"/>
      <c r="P75" s="398"/>
      <c r="Q75" s="398"/>
      <c r="R75" s="398"/>
      <c r="S75" s="398"/>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499"/>
      <c r="C77" s="499"/>
      <c r="D77" s="499"/>
      <c r="E77" s="499"/>
      <c r="F77" s="499"/>
      <c r="G77" s="499"/>
      <c r="H77" s="499"/>
      <c r="I77" s="499"/>
      <c r="J77" s="163"/>
      <c r="K77" s="163"/>
      <c r="L77" s="397"/>
      <c r="M77" s="397"/>
      <c r="N77" s="397"/>
      <c r="O77" s="397"/>
      <c r="P77" s="397"/>
      <c r="Q77" s="397"/>
      <c r="R77" s="397"/>
      <c r="S77" s="397"/>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X25:X30 X35 X51 X43 X58:X64">
    <cfRule type="cellIs" dxfId="64" priority="93" operator="notEqual">
      <formula>0</formula>
    </cfRule>
  </conditionalFormatting>
  <conditionalFormatting sqref="AA52">
    <cfRule type="cellIs" dxfId="63" priority="103" operator="notEqual">
      <formula>0</formula>
    </cfRule>
  </conditionalFormatting>
  <conditionalFormatting sqref="Y31:Y34">
    <cfRule type="cellIs" dxfId="62" priority="101" operator="notEqual">
      <formula>0</formula>
    </cfRule>
  </conditionalFormatting>
  <conditionalFormatting sqref="Y35 Y51 Y43 Y58:Y64 Y25:Y30 AA58:AA64 AA43 AA51 AA25:AA35">
    <cfRule type="cellIs" dxfId="61" priority="121" operator="notEqual">
      <formula>0</formula>
    </cfRule>
  </conditionalFormatting>
  <conditionalFormatting sqref="Y24 AA24">
    <cfRule type="cellIs" dxfId="60" priority="119" operator="notEqual">
      <formula>0</formula>
    </cfRule>
  </conditionalFormatting>
  <conditionalFormatting sqref="AA53:AA57">
    <cfRule type="cellIs" dxfId="59" priority="106" operator="notEqual">
      <formula>0</formula>
    </cfRule>
  </conditionalFormatting>
  <conditionalFormatting sqref="Y24 AA24">
    <cfRule type="cellIs" dxfId="58" priority="115" operator="notEqual">
      <formula>0</formula>
    </cfRule>
  </conditionalFormatting>
  <conditionalFormatting sqref="Y52:Y57">
    <cfRule type="cellIs" dxfId="57" priority="100" operator="notEqual">
      <formula>0</formula>
    </cfRule>
  </conditionalFormatting>
  <conditionalFormatting sqref="AA44:AA50">
    <cfRule type="cellIs" dxfId="56" priority="99" operator="notEqual">
      <formula>0</formula>
    </cfRule>
  </conditionalFormatting>
  <conditionalFormatting sqref="Y44:Y50">
    <cfRule type="cellIs" dxfId="55" priority="97" operator="notEqual">
      <formula>0</formula>
    </cfRule>
  </conditionalFormatting>
  <conditionalFormatting sqref="AA36:AA42">
    <cfRule type="cellIs" dxfId="54" priority="96" operator="notEqual">
      <formula>0</formula>
    </cfRule>
  </conditionalFormatting>
  <conditionalFormatting sqref="Y36:Y42">
    <cfRule type="cellIs" dxfId="53" priority="94" operator="notEqual">
      <formula>0</formula>
    </cfRule>
  </conditionalFormatting>
  <conditionalFormatting sqref="X31:X34">
    <cfRule type="cellIs" dxfId="52" priority="90" operator="notEqual">
      <formula>0</formula>
    </cfRule>
  </conditionalFormatting>
  <conditionalFormatting sqref="X24">
    <cfRule type="cellIs" dxfId="51" priority="92" operator="notEqual">
      <formula>0</formula>
    </cfRule>
  </conditionalFormatting>
  <conditionalFormatting sqref="X24">
    <cfRule type="cellIs" dxfId="50" priority="91" operator="notEqual">
      <formula>0</formula>
    </cfRule>
  </conditionalFormatting>
  <conditionalFormatting sqref="X52:X57">
    <cfRule type="cellIs" dxfId="49" priority="89" operator="notEqual">
      <formula>0</formula>
    </cfRule>
  </conditionalFormatting>
  <conditionalFormatting sqref="X44:X50">
    <cfRule type="cellIs" dxfId="48" priority="88" operator="notEqual">
      <formula>0</formula>
    </cfRule>
  </conditionalFormatting>
  <conditionalFormatting sqref="X36:X42">
    <cfRule type="cellIs" dxfId="47" priority="87" operator="notEqual">
      <formula>0</formula>
    </cfRule>
  </conditionalFormatting>
  <conditionalFormatting sqref="D52 G52:H52">
    <cfRule type="cellIs" dxfId="46" priority="82" operator="notEqual">
      <formula>0</formula>
    </cfRule>
  </conditionalFormatting>
  <conditionalFormatting sqref="D31:D34 G32:H34 H31">
    <cfRule type="cellIs" dxfId="45" priority="81" operator="notEqual">
      <formula>0</formula>
    </cfRule>
  </conditionalFormatting>
  <conditionalFormatting sqref="D58:D64 D51 D43 D35 D25:D30 H25:H30 G35:H35 G43:H43 G51:H51 G58:H64">
    <cfRule type="cellIs" dxfId="44" priority="86" operator="notEqual">
      <formula>0</formula>
    </cfRule>
  </conditionalFormatting>
  <conditionalFormatting sqref="D24 H24">
    <cfRule type="cellIs" dxfId="43" priority="85" operator="notEqual">
      <formula>0</formula>
    </cfRule>
  </conditionalFormatting>
  <conditionalFormatting sqref="D24 H24">
    <cfRule type="cellIs" dxfId="42" priority="84" operator="notEqual">
      <formula>0</formula>
    </cfRule>
  </conditionalFormatting>
  <conditionalFormatting sqref="D53:D57 G53:H57">
    <cfRule type="cellIs" dxfId="41" priority="83" operator="notEqual">
      <formula>0</formula>
    </cfRule>
  </conditionalFormatting>
  <conditionalFormatting sqref="G44:H50 D44:D50">
    <cfRule type="cellIs" dxfId="40" priority="80" operator="notEqual">
      <formula>0</formula>
    </cfRule>
  </conditionalFormatting>
  <conditionalFormatting sqref="G36:H42 D36:D42">
    <cfRule type="cellIs" dxfId="39" priority="79" operator="notEqual">
      <formula>0</formula>
    </cfRule>
  </conditionalFormatting>
  <conditionalFormatting sqref="I52">
    <cfRule type="cellIs" dxfId="38" priority="74" operator="notEqual">
      <formula>0</formula>
    </cfRule>
  </conditionalFormatting>
  <conditionalFormatting sqref="I31:I34">
    <cfRule type="cellIs" dxfId="37" priority="73" operator="notEqual">
      <formula>0</formula>
    </cfRule>
  </conditionalFormatting>
  <conditionalFormatting sqref="I58:I64 I51 I43 I35 I25:I30 J30">
    <cfRule type="cellIs" dxfId="36" priority="78" operator="notEqual">
      <formula>0</formula>
    </cfRule>
  </conditionalFormatting>
  <conditionalFormatting sqref="I24">
    <cfRule type="cellIs" dxfId="35" priority="77" operator="notEqual">
      <formula>0</formula>
    </cfRule>
  </conditionalFormatting>
  <conditionalFormatting sqref="I24">
    <cfRule type="cellIs" dxfId="34" priority="76" operator="notEqual">
      <formula>0</formula>
    </cfRule>
  </conditionalFormatting>
  <conditionalFormatting sqref="I53:I57">
    <cfRule type="cellIs" dxfId="33" priority="75" operator="notEqual">
      <formula>0</formula>
    </cfRule>
  </conditionalFormatting>
  <conditionalFormatting sqref="I44:I50">
    <cfRule type="cellIs" dxfId="32" priority="72" operator="notEqual">
      <formula>0</formula>
    </cfRule>
  </conditionalFormatting>
  <conditionalFormatting sqref="I36:I42">
    <cfRule type="cellIs" dxfId="31" priority="71" operator="notEqual">
      <formula>0</formula>
    </cfRule>
  </conditionalFormatting>
  <conditionalFormatting sqref="C52">
    <cfRule type="cellIs" dxfId="30" priority="35" operator="notEqual">
      <formula>0</formula>
    </cfRule>
  </conditionalFormatting>
  <conditionalFormatting sqref="C31:C34">
    <cfRule type="cellIs" dxfId="29" priority="34" operator="notEqual">
      <formula>0</formula>
    </cfRule>
  </conditionalFormatting>
  <conditionalFormatting sqref="C58:C64 C51 C43 C35 C25:C30">
    <cfRule type="cellIs" dxfId="28" priority="39" operator="notEqual">
      <formula>0</formula>
    </cfRule>
  </conditionalFormatting>
  <conditionalFormatting sqref="C24">
    <cfRule type="cellIs" dxfId="27" priority="38" operator="notEqual">
      <formula>0</formula>
    </cfRule>
  </conditionalFormatting>
  <conditionalFormatting sqref="C24">
    <cfRule type="cellIs" dxfId="26" priority="37" operator="notEqual">
      <formula>0</formula>
    </cfRule>
  </conditionalFormatting>
  <conditionalFormatting sqref="C53:C57">
    <cfRule type="cellIs" dxfId="25" priority="36" operator="notEqual">
      <formula>0</formula>
    </cfRule>
  </conditionalFormatting>
  <conditionalFormatting sqref="C44:C50">
    <cfRule type="cellIs" dxfId="24" priority="33" operator="notEqual">
      <formula>0</formula>
    </cfRule>
  </conditionalFormatting>
  <conditionalFormatting sqref="C36:C42">
    <cfRule type="cellIs" dxfId="23" priority="32" operator="notEqual">
      <formula>0</formula>
    </cfRule>
  </conditionalFormatting>
  <conditionalFormatting sqref="J52:AA52">
    <cfRule type="cellIs" dxfId="22" priority="19" operator="notEqual">
      <formula>0</formula>
    </cfRule>
  </conditionalFormatting>
  <conditionalFormatting sqref="J31:AA34">
    <cfRule type="cellIs" dxfId="21" priority="18" operator="notEqual">
      <formula>0</formula>
    </cfRule>
  </conditionalFormatting>
  <conditionalFormatting sqref="J25:AA29 J35:AA35 J43:AA43 J51:AA51 J58:AA64 K30:AA30">
    <cfRule type="cellIs" dxfId="20" priority="23" operator="notEqual">
      <formula>0</formula>
    </cfRule>
  </conditionalFormatting>
  <conditionalFormatting sqref="J24:AA24">
    <cfRule type="cellIs" dxfId="19" priority="22" operator="notEqual">
      <formula>0</formula>
    </cfRule>
  </conditionalFormatting>
  <conditionalFormatting sqref="J24:AA24">
    <cfRule type="cellIs" dxfId="18" priority="21" operator="notEqual">
      <formula>0</formula>
    </cfRule>
  </conditionalFormatting>
  <conditionalFormatting sqref="J53:AA57">
    <cfRule type="cellIs" dxfId="17" priority="20" operator="notEqual">
      <formula>0</formula>
    </cfRule>
  </conditionalFormatting>
  <conditionalFormatting sqref="J44:AA50">
    <cfRule type="cellIs" dxfId="16" priority="17" operator="notEqual">
      <formula>0</formula>
    </cfRule>
  </conditionalFormatting>
  <conditionalFormatting sqref="J36:AA42">
    <cfRule type="cellIs" dxfId="15" priority="16" operator="notEqual">
      <formula>0</formula>
    </cfRule>
  </conditionalFormatting>
  <conditionalFormatting sqref="Z52">
    <cfRule type="cellIs" dxfId="14" priority="11" operator="notEqual">
      <formula>0</formula>
    </cfRule>
  </conditionalFormatting>
  <conditionalFormatting sqref="Z31:Z34">
    <cfRule type="cellIs" dxfId="13" priority="10" operator="notEqual">
      <formula>0</formula>
    </cfRule>
  </conditionalFormatting>
  <conditionalFormatting sqref="Z25:Z30 Z35 Z43 Z51 Z58:Z64">
    <cfRule type="cellIs" dxfId="12" priority="15" operator="notEqual">
      <formula>0</formula>
    </cfRule>
  </conditionalFormatting>
  <conditionalFormatting sqref="Z24">
    <cfRule type="cellIs" dxfId="11" priority="14" operator="notEqual">
      <formula>0</formula>
    </cfRule>
  </conditionalFormatting>
  <conditionalFormatting sqref="Z24">
    <cfRule type="cellIs" dxfId="10" priority="13" operator="notEqual">
      <formula>0</formula>
    </cfRule>
  </conditionalFormatting>
  <conditionalFormatting sqref="Z53:Z57">
    <cfRule type="cellIs" dxfId="9" priority="12" operator="notEqual">
      <formula>0</formula>
    </cfRule>
  </conditionalFormatting>
  <conditionalFormatting sqref="Z44:Z50">
    <cfRule type="cellIs" dxfId="8" priority="9" operator="notEqual">
      <formula>0</formula>
    </cfRule>
  </conditionalFormatting>
  <conditionalFormatting sqref="Z36:Z42">
    <cfRule type="cellIs" dxfId="7" priority="8" operator="notEqual">
      <formula>0</formula>
    </cfRule>
  </conditionalFormatting>
  <conditionalFormatting sqref="E24: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G31">
    <cfRule type="cellIs" dxfId="3" priority="1" operator="notEqual">
      <formula>0</formula>
    </cfRule>
  </conditionalFormatting>
  <conditionalFormatting sqref="G25:G30">
    <cfRule type="cellIs" dxfId="2" priority="4" operator="notEqual">
      <formula>0</formula>
    </cfRule>
  </conditionalFormatting>
  <conditionalFormatting sqref="G24">
    <cfRule type="cellIs" dxfId="1" priority="3" operator="notEqual">
      <formula>0</formula>
    </cfRule>
  </conditionalFormatting>
  <conditionalFormatting sqref="G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D16" zoomScale="85" zoomScaleSheetLayoutView="85" workbookViewId="0">
      <selection activeCell="AT27" sqref="AT27"/>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20"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13" t="str">
        <f>'1. паспорт местоположение'!A5:C5</f>
        <v>Год раскрытия информации: 2024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195" customFormat="1" ht="18.75" x14ac:dyDescent="0.3">
      <c r="AV6" s="1"/>
    </row>
    <row r="7" spans="1:48" s="195" customFormat="1" ht="18.75" x14ac:dyDescent="0.25">
      <c r="A7" s="461" t="s">
        <v>7</v>
      </c>
      <c r="B7" s="461"/>
      <c r="C7" s="461"/>
      <c r="D7" s="461"/>
      <c r="E7" s="461"/>
      <c r="F7" s="461"/>
      <c r="G7" s="461"/>
      <c r="H7" s="461"/>
      <c r="I7" s="461"/>
      <c r="J7" s="461"/>
      <c r="K7" s="461"/>
      <c r="L7" s="461"/>
      <c r="M7" s="461"/>
      <c r="N7" s="461"/>
      <c r="O7" s="461"/>
      <c r="P7" s="461"/>
      <c r="Q7" s="461"/>
      <c r="R7" s="461"/>
      <c r="S7" s="461"/>
      <c r="T7" s="461"/>
      <c r="U7" s="461"/>
      <c r="V7" s="461"/>
      <c r="W7" s="461"/>
      <c r="X7" s="461"/>
      <c r="Y7" s="461"/>
      <c r="Z7" s="461"/>
      <c r="AA7" s="461"/>
      <c r="AB7" s="461"/>
      <c r="AC7" s="461"/>
      <c r="AD7" s="461"/>
      <c r="AE7" s="461"/>
      <c r="AF7" s="461"/>
      <c r="AG7" s="461"/>
      <c r="AH7" s="461"/>
      <c r="AI7" s="461"/>
      <c r="AJ7" s="461"/>
      <c r="AK7" s="461"/>
      <c r="AL7" s="461"/>
      <c r="AM7" s="461"/>
      <c r="AN7" s="461"/>
      <c r="AO7" s="461"/>
      <c r="AP7" s="461"/>
      <c r="AQ7" s="461"/>
      <c r="AR7" s="461"/>
      <c r="AS7" s="461"/>
      <c r="AT7" s="461"/>
      <c r="AU7" s="461"/>
      <c r="AV7" s="461"/>
    </row>
    <row r="8" spans="1:48" s="195" customFormat="1" ht="18.75" x14ac:dyDescent="0.25">
      <c r="A8" s="461"/>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c r="AQ8" s="461"/>
      <c r="AR8" s="461"/>
      <c r="AS8" s="461"/>
      <c r="AT8" s="461"/>
      <c r="AU8" s="461"/>
      <c r="AV8" s="461"/>
    </row>
    <row r="9" spans="1:48" s="195" customFormat="1" x14ac:dyDescent="0.25">
      <c r="A9" s="516" t="str">
        <f>'1. паспорт местоположение'!A9:C9</f>
        <v>Акционерное общество "Россети Янтарь" ДЗО  ПАО "Россети"</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c r="AD9" s="516"/>
      <c r="AE9" s="516"/>
      <c r="AF9" s="516"/>
      <c r="AG9" s="516"/>
      <c r="AH9" s="516"/>
      <c r="AI9" s="516"/>
      <c r="AJ9" s="516"/>
      <c r="AK9" s="516"/>
      <c r="AL9" s="516"/>
      <c r="AM9" s="516"/>
      <c r="AN9" s="516"/>
      <c r="AO9" s="516"/>
      <c r="AP9" s="516"/>
      <c r="AQ9" s="516"/>
      <c r="AR9" s="516"/>
      <c r="AS9" s="516"/>
      <c r="AT9" s="516"/>
      <c r="AU9" s="516"/>
      <c r="AV9" s="516"/>
    </row>
    <row r="10" spans="1:48" s="195" customFormat="1" ht="15.75" x14ac:dyDescent="0.25">
      <c r="A10" s="463" t="s">
        <v>6</v>
      </c>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c r="AV10" s="463"/>
    </row>
    <row r="11" spans="1:48" s="195" customFormat="1" ht="18.75" x14ac:dyDescent="0.25">
      <c r="A11" s="461"/>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c r="AD11" s="461"/>
      <c r="AE11" s="461"/>
      <c r="AF11" s="461"/>
      <c r="AG11" s="461"/>
      <c r="AH11" s="461"/>
      <c r="AI11" s="461"/>
      <c r="AJ11" s="461"/>
      <c r="AK11" s="461"/>
      <c r="AL11" s="461"/>
      <c r="AM11" s="461"/>
      <c r="AN11" s="461"/>
      <c r="AO11" s="461"/>
      <c r="AP11" s="461"/>
      <c r="AQ11" s="461"/>
      <c r="AR11" s="461"/>
      <c r="AS11" s="461"/>
      <c r="AT11" s="461"/>
      <c r="AU11" s="461"/>
      <c r="AV11" s="461"/>
    </row>
    <row r="12" spans="1:48" s="195" customFormat="1" x14ac:dyDescent="0.25">
      <c r="A12" s="516" t="str">
        <f>'1. паспорт местоположение'!A12:C12</f>
        <v>O_23-1261</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c r="AD12" s="516"/>
      <c r="AE12" s="516"/>
      <c r="AF12" s="516"/>
      <c r="AG12" s="516"/>
      <c r="AH12" s="516"/>
      <c r="AI12" s="516"/>
      <c r="AJ12" s="516"/>
      <c r="AK12" s="516"/>
      <c r="AL12" s="516"/>
      <c r="AM12" s="516"/>
      <c r="AN12" s="516"/>
      <c r="AO12" s="516"/>
      <c r="AP12" s="516"/>
      <c r="AQ12" s="516"/>
      <c r="AR12" s="516"/>
      <c r="AS12" s="516"/>
      <c r="AT12" s="516"/>
      <c r="AU12" s="516"/>
      <c r="AV12" s="516"/>
    </row>
    <row r="13" spans="1:48" s="195" customFormat="1" ht="15.75" x14ac:dyDescent="0.25">
      <c r="A13" s="463" t="s">
        <v>5</v>
      </c>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row>
    <row r="14" spans="1:48" s="195" customFormat="1" ht="18.75" x14ac:dyDescent="0.25">
      <c r="A14" s="517"/>
      <c r="B14" s="517"/>
      <c r="C14" s="517"/>
      <c r="D14" s="517"/>
      <c r="E14" s="517"/>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c r="AD14" s="517"/>
      <c r="AE14" s="517"/>
      <c r="AF14" s="517"/>
      <c r="AG14" s="517"/>
      <c r="AH14" s="517"/>
      <c r="AI14" s="517"/>
      <c r="AJ14" s="517"/>
      <c r="AK14" s="517"/>
      <c r="AL14" s="517"/>
      <c r="AM14" s="517"/>
      <c r="AN14" s="517"/>
      <c r="AO14" s="517"/>
      <c r="AP14" s="517"/>
      <c r="AQ14" s="517"/>
      <c r="AR14" s="517"/>
      <c r="AS14" s="517"/>
      <c r="AT14" s="517"/>
      <c r="AU14" s="517"/>
      <c r="AV14" s="517"/>
    </row>
    <row r="15" spans="1:48" s="195" customFormat="1" x14ac:dyDescent="0.25">
      <c r="A15" s="516" t="str">
        <f>'1. паспорт местоположение'!A15</f>
        <v>Строительство ЛЭП 0,4 кВ от ТП 034-10, организация системы учета электроэнергии г. Гурьевск, Пражский бульвар</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c r="AD15" s="516"/>
      <c r="AE15" s="516"/>
      <c r="AF15" s="516"/>
      <c r="AG15" s="516"/>
      <c r="AH15" s="516"/>
      <c r="AI15" s="516"/>
      <c r="AJ15" s="516"/>
      <c r="AK15" s="516"/>
      <c r="AL15" s="516"/>
      <c r="AM15" s="516"/>
      <c r="AN15" s="516"/>
      <c r="AO15" s="516"/>
      <c r="AP15" s="516"/>
      <c r="AQ15" s="516"/>
      <c r="AR15" s="516"/>
      <c r="AS15" s="516"/>
      <c r="AT15" s="516"/>
      <c r="AU15" s="516"/>
      <c r="AV15" s="516"/>
    </row>
    <row r="16" spans="1:48" s="195" customFormat="1" ht="15.75" x14ac:dyDescent="0.25">
      <c r="A16" s="463" t="s">
        <v>4</v>
      </c>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c r="AV16" s="463"/>
    </row>
    <row r="17" spans="1:48" s="195" customFormat="1" x14ac:dyDescent="0.25">
      <c r="A17" s="514"/>
      <c r="B17" s="514"/>
      <c r="C17" s="514"/>
      <c r="D17" s="514"/>
      <c r="E17" s="514"/>
      <c r="F17" s="514"/>
      <c r="G17" s="514"/>
      <c r="H17" s="514"/>
      <c r="I17" s="514"/>
      <c r="J17" s="514"/>
      <c r="K17" s="514"/>
      <c r="L17" s="514"/>
      <c r="M17" s="514"/>
      <c r="N17" s="514"/>
      <c r="O17" s="514"/>
      <c r="P17" s="514"/>
      <c r="Q17" s="514"/>
      <c r="R17" s="514"/>
      <c r="S17" s="514"/>
      <c r="T17" s="514"/>
      <c r="U17" s="514"/>
      <c r="V17" s="514"/>
      <c r="W17" s="514"/>
      <c r="X17" s="514"/>
      <c r="Y17" s="514"/>
      <c r="Z17" s="514"/>
      <c r="AA17" s="514"/>
      <c r="AB17" s="514"/>
      <c r="AC17" s="514"/>
      <c r="AD17" s="514"/>
      <c r="AE17" s="514"/>
      <c r="AF17" s="514"/>
      <c r="AG17" s="514"/>
      <c r="AH17" s="514"/>
      <c r="AI17" s="514"/>
      <c r="AJ17" s="514"/>
      <c r="AK17" s="514"/>
      <c r="AL17" s="514"/>
      <c r="AM17" s="514"/>
      <c r="AN17" s="514"/>
      <c r="AO17" s="514"/>
      <c r="AP17" s="514"/>
      <c r="AQ17" s="514"/>
      <c r="AR17" s="514"/>
      <c r="AS17" s="514"/>
      <c r="AT17" s="514"/>
      <c r="AU17" s="514"/>
      <c r="AV17" s="514"/>
    </row>
    <row r="18" spans="1:48" s="195" customFormat="1" ht="14.25" customHeight="1" x14ac:dyDescent="0.25">
      <c r="A18" s="514"/>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514"/>
      <c r="AD18" s="514"/>
      <c r="AE18" s="514"/>
      <c r="AF18" s="514"/>
      <c r="AG18" s="514"/>
      <c r="AH18" s="514"/>
      <c r="AI18" s="514"/>
      <c r="AJ18" s="514"/>
      <c r="AK18" s="514"/>
      <c r="AL18" s="514"/>
      <c r="AM18" s="514"/>
      <c r="AN18" s="514"/>
      <c r="AO18" s="514"/>
      <c r="AP18" s="514"/>
      <c r="AQ18" s="514"/>
      <c r="AR18" s="514"/>
      <c r="AS18" s="514"/>
      <c r="AT18" s="514"/>
      <c r="AU18" s="514"/>
      <c r="AV18" s="514"/>
    </row>
    <row r="19" spans="1:48" s="195" customFormat="1" x14ac:dyDescent="0.25">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514"/>
      <c r="AD19" s="514"/>
      <c r="AE19" s="514"/>
      <c r="AF19" s="514"/>
      <c r="AG19" s="514"/>
      <c r="AH19" s="514"/>
      <c r="AI19" s="514"/>
      <c r="AJ19" s="514"/>
      <c r="AK19" s="514"/>
      <c r="AL19" s="514"/>
      <c r="AM19" s="514"/>
      <c r="AN19" s="514"/>
      <c r="AO19" s="514"/>
      <c r="AP19" s="514"/>
      <c r="AQ19" s="514"/>
      <c r="AR19" s="514"/>
      <c r="AS19" s="514"/>
      <c r="AT19" s="514"/>
      <c r="AU19" s="514"/>
      <c r="AV19" s="514"/>
    </row>
    <row r="20" spans="1:48" s="196" customFormat="1"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row>
    <row r="21" spans="1:48" s="196" customFormat="1" x14ac:dyDescent="0.25">
      <c r="A21" s="518" t="s">
        <v>372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31" customFormat="1" ht="58.5" customHeight="1" x14ac:dyDescent="0.25">
      <c r="A22" s="519" t="s">
        <v>50</v>
      </c>
      <c r="B22" s="522" t="s">
        <v>22</v>
      </c>
      <c r="C22" s="519" t="s">
        <v>49</v>
      </c>
      <c r="D22" s="519" t="s">
        <v>48</v>
      </c>
      <c r="E22" s="525" t="s">
        <v>381</v>
      </c>
      <c r="F22" s="526"/>
      <c r="G22" s="526"/>
      <c r="H22" s="526"/>
      <c r="I22" s="526"/>
      <c r="J22" s="526"/>
      <c r="K22" s="526"/>
      <c r="L22" s="527"/>
      <c r="M22" s="519" t="s">
        <v>47</v>
      </c>
      <c r="N22" s="519" t="s">
        <v>46</v>
      </c>
      <c r="O22" s="519" t="s">
        <v>45</v>
      </c>
      <c r="P22" s="528" t="s">
        <v>208</v>
      </c>
      <c r="Q22" s="528" t="s">
        <v>44</v>
      </c>
      <c r="R22" s="528" t="s">
        <v>43</v>
      </c>
      <c r="S22" s="528" t="s">
        <v>42</v>
      </c>
      <c r="T22" s="528"/>
      <c r="U22" s="529" t="s">
        <v>41</v>
      </c>
      <c r="V22" s="529" t="s">
        <v>40</v>
      </c>
      <c r="W22" s="528" t="s">
        <v>39</v>
      </c>
      <c r="X22" s="528" t="s">
        <v>38</v>
      </c>
      <c r="Y22" s="528" t="s">
        <v>37</v>
      </c>
      <c r="Z22" s="540"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28" t="s">
        <v>23</v>
      </c>
    </row>
    <row r="23" spans="1:48" s="131" customFormat="1" ht="64.5" customHeight="1" x14ac:dyDescent="0.25">
      <c r="A23" s="520"/>
      <c r="B23" s="523"/>
      <c r="C23" s="520"/>
      <c r="D23" s="520"/>
      <c r="E23" s="532" t="s">
        <v>21</v>
      </c>
      <c r="F23" s="534" t="s">
        <v>125</v>
      </c>
      <c r="G23" s="534" t="s">
        <v>124</v>
      </c>
      <c r="H23" s="534" t="s">
        <v>123</v>
      </c>
      <c r="I23" s="538" t="s">
        <v>318</v>
      </c>
      <c r="J23" s="538" t="s">
        <v>319</v>
      </c>
      <c r="K23" s="538" t="s">
        <v>320</v>
      </c>
      <c r="L23" s="534" t="s">
        <v>74</v>
      </c>
      <c r="M23" s="520"/>
      <c r="N23" s="520"/>
      <c r="O23" s="520"/>
      <c r="P23" s="528"/>
      <c r="Q23" s="528"/>
      <c r="R23" s="528"/>
      <c r="S23" s="536" t="s">
        <v>2</v>
      </c>
      <c r="T23" s="536" t="s">
        <v>9</v>
      </c>
      <c r="U23" s="529"/>
      <c r="V23" s="529"/>
      <c r="W23" s="528"/>
      <c r="X23" s="528"/>
      <c r="Y23" s="528"/>
      <c r="Z23" s="528"/>
      <c r="AA23" s="528"/>
      <c r="AB23" s="528"/>
      <c r="AC23" s="528"/>
      <c r="AD23" s="528"/>
      <c r="AE23" s="528"/>
      <c r="AF23" s="528" t="s">
        <v>20</v>
      </c>
      <c r="AG23" s="528"/>
      <c r="AH23" s="528" t="s">
        <v>19</v>
      </c>
      <c r="AI23" s="528"/>
      <c r="AJ23" s="519" t="s">
        <v>18</v>
      </c>
      <c r="AK23" s="519" t="s">
        <v>17</v>
      </c>
      <c r="AL23" s="519" t="s">
        <v>16</v>
      </c>
      <c r="AM23" s="519" t="s">
        <v>15</v>
      </c>
      <c r="AN23" s="519" t="s">
        <v>14</v>
      </c>
      <c r="AO23" s="519" t="s">
        <v>13</v>
      </c>
      <c r="AP23" s="519" t="s">
        <v>12</v>
      </c>
      <c r="AQ23" s="530" t="s">
        <v>9</v>
      </c>
      <c r="AR23" s="528"/>
      <c r="AS23" s="528"/>
      <c r="AT23" s="528"/>
      <c r="AU23" s="528"/>
      <c r="AV23" s="528"/>
    </row>
    <row r="24" spans="1:48" s="131" customFormat="1" ht="96.75" customHeight="1" x14ac:dyDescent="0.25">
      <c r="A24" s="521"/>
      <c r="B24" s="524"/>
      <c r="C24" s="521"/>
      <c r="D24" s="521"/>
      <c r="E24" s="533"/>
      <c r="F24" s="535"/>
      <c r="G24" s="535"/>
      <c r="H24" s="535"/>
      <c r="I24" s="539"/>
      <c r="J24" s="539"/>
      <c r="K24" s="539"/>
      <c r="L24" s="535"/>
      <c r="M24" s="521"/>
      <c r="N24" s="521"/>
      <c r="O24" s="521"/>
      <c r="P24" s="528"/>
      <c r="Q24" s="528"/>
      <c r="R24" s="528"/>
      <c r="S24" s="537"/>
      <c r="T24" s="537"/>
      <c r="U24" s="529"/>
      <c r="V24" s="529"/>
      <c r="W24" s="528"/>
      <c r="X24" s="528"/>
      <c r="Y24" s="528"/>
      <c r="Z24" s="528"/>
      <c r="AA24" s="528"/>
      <c r="AB24" s="528"/>
      <c r="AC24" s="528"/>
      <c r="AD24" s="528"/>
      <c r="AE24" s="528"/>
      <c r="AF24" s="132" t="s">
        <v>11</v>
      </c>
      <c r="AG24" s="132" t="s">
        <v>10</v>
      </c>
      <c r="AH24" s="133" t="s">
        <v>2</v>
      </c>
      <c r="AI24" s="133" t="s">
        <v>9</v>
      </c>
      <c r="AJ24" s="521"/>
      <c r="AK24" s="521"/>
      <c r="AL24" s="521"/>
      <c r="AM24" s="521"/>
      <c r="AN24" s="521"/>
      <c r="AO24" s="521"/>
      <c r="AP24" s="521"/>
      <c r="AQ24" s="531"/>
      <c r="AR24" s="528"/>
      <c r="AS24" s="528"/>
      <c r="AT24" s="528"/>
      <c r="AU24" s="528"/>
      <c r="AV24" s="528"/>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9" customFormat="1" ht="127.5" x14ac:dyDescent="0.25">
      <c r="A26" s="200">
        <v>1</v>
      </c>
      <c r="B26" s="201" t="s">
        <v>598</v>
      </c>
      <c r="C26" s="201">
        <v>1</v>
      </c>
      <c r="D26" s="202" t="s">
        <v>478</v>
      </c>
      <c r="E26" s="201"/>
      <c r="F26" s="201"/>
      <c r="G26" s="201">
        <f>'3.1. паспорт Техсостояние ПС'!O25</f>
        <v>0</v>
      </c>
      <c r="H26" s="201"/>
      <c r="I26" s="203"/>
      <c r="J26" s="203"/>
      <c r="K26" s="201">
        <f>'3.2 паспорт Техсостояние ЛЭП'!R27</f>
        <v>0.35399999999999998</v>
      </c>
      <c r="L26" s="201"/>
      <c r="M26" s="206" t="s">
        <v>600</v>
      </c>
      <c r="N26" s="205" t="s">
        <v>630</v>
      </c>
      <c r="O26" s="201" t="s">
        <v>598</v>
      </c>
      <c r="P26" s="320">
        <v>5869.1287300000004</v>
      </c>
      <c r="Q26" s="206" t="s">
        <v>631</v>
      </c>
      <c r="R26" s="320">
        <f>P26</f>
        <v>5869.1287300000004</v>
      </c>
      <c r="S26" s="206" t="s">
        <v>632</v>
      </c>
      <c r="T26" s="206" t="s">
        <v>633</v>
      </c>
      <c r="U26" s="206" t="s">
        <v>60</v>
      </c>
      <c r="V26" s="206" t="s">
        <v>60</v>
      </c>
      <c r="W26" s="206" t="s">
        <v>634</v>
      </c>
      <c r="X26" s="320">
        <v>5869.1287300000004</v>
      </c>
      <c r="Y26" s="206"/>
      <c r="Z26" s="206"/>
      <c r="AA26" s="320"/>
      <c r="AB26" s="320">
        <f>X26</f>
        <v>5869.1287300000004</v>
      </c>
      <c r="AC26" s="206" t="s">
        <v>634</v>
      </c>
      <c r="AD26" s="320">
        <f>'8. Общие сведения'!B33*1000</f>
        <v>2904.2879800000001</v>
      </c>
      <c r="AE26" s="320">
        <f>AD26</f>
        <v>2904.2879800000001</v>
      </c>
      <c r="AF26" s="206"/>
      <c r="AG26" s="206"/>
      <c r="AH26" s="409"/>
      <c r="AI26" s="409"/>
      <c r="AJ26" s="409"/>
      <c r="AK26" s="409"/>
      <c r="AL26" s="206"/>
      <c r="AM26" s="206"/>
      <c r="AN26" s="206"/>
      <c r="AO26" s="206"/>
      <c r="AP26" s="409">
        <v>45322</v>
      </c>
      <c r="AQ26" s="409">
        <v>45322</v>
      </c>
      <c r="AR26" s="409">
        <v>45322</v>
      </c>
      <c r="AS26" s="409">
        <v>45322</v>
      </c>
      <c r="AT26" s="409">
        <v>45412</v>
      </c>
      <c r="AU26" s="206"/>
      <c r="AV26" s="206"/>
    </row>
    <row r="27" spans="1:48" s="214" customFormat="1" ht="25.5" x14ac:dyDescent="0.25">
      <c r="A27" s="210"/>
      <c r="B27" s="211"/>
      <c r="C27" s="211"/>
      <c r="D27" s="212"/>
      <c r="E27" s="211"/>
      <c r="F27" s="211"/>
      <c r="G27" s="211"/>
      <c r="H27" s="211"/>
      <c r="I27" s="213"/>
      <c r="J27" s="213"/>
      <c r="K27" s="211"/>
      <c r="L27" s="211"/>
      <c r="M27" s="206"/>
      <c r="N27" s="206"/>
      <c r="O27" s="206"/>
      <c r="P27" s="320"/>
      <c r="Q27" s="206"/>
      <c r="R27" s="320"/>
      <c r="S27" s="206"/>
      <c r="T27" s="206"/>
      <c r="U27" s="206"/>
      <c r="V27" s="206"/>
      <c r="W27" s="206" t="s">
        <v>635</v>
      </c>
      <c r="X27" s="320">
        <v>6887.2615800000003</v>
      </c>
      <c r="Y27" s="206"/>
      <c r="Z27" s="206"/>
      <c r="AA27" s="320"/>
      <c r="AB27" s="320"/>
      <c r="AC27" s="206"/>
      <c r="AD27" s="320"/>
      <c r="AE27" s="320"/>
      <c r="AF27" s="206"/>
      <c r="AG27" s="206"/>
      <c r="AH27" s="409"/>
      <c r="AI27" s="409"/>
      <c r="AJ27" s="409"/>
      <c r="AK27" s="409"/>
      <c r="AL27" s="206"/>
      <c r="AM27" s="206"/>
      <c r="AN27" s="206"/>
      <c r="AO27" s="206"/>
      <c r="AP27" s="206"/>
      <c r="AQ27" s="206"/>
      <c r="AR27" s="206"/>
      <c r="AS27" s="206"/>
      <c r="AT27" s="206"/>
      <c r="AU27" s="206"/>
      <c r="AV27" s="204"/>
    </row>
    <row r="28" spans="1:48" s="214" customFormat="1" ht="12.75" x14ac:dyDescent="0.25">
      <c r="A28" s="210"/>
      <c r="B28" s="201"/>
      <c r="C28" s="201"/>
      <c r="D28" s="202"/>
      <c r="E28" s="201"/>
      <c r="F28" s="201"/>
      <c r="G28" s="201"/>
      <c r="H28" s="201"/>
      <c r="I28" s="203"/>
      <c r="J28" s="203"/>
      <c r="K28" s="201"/>
      <c r="L28" s="201"/>
      <c r="M28" s="204"/>
      <c r="N28" s="206"/>
      <c r="O28" s="204"/>
      <c r="P28" s="207"/>
      <c r="Q28" s="206"/>
      <c r="R28" s="207"/>
      <c r="S28" s="206"/>
      <c r="T28" s="206"/>
      <c r="U28" s="204"/>
      <c r="V28" s="204"/>
      <c r="W28" s="206" t="s">
        <v>636</v>
      </c>
      <c r="X28" s="320">
        <v>6300</v>
      </c>
      <c r="Y28" s="206"/>
      <c r="Z28" s="204"/>
      <c r="AA28" s="207"/>
      <c r="AB28" s="207"/>
      <c r="AC28" s="206"/>
      <c r="AD28" s="207"/>
      <c r="AE28" s="207"/>
      <c r="AF28" s="204"/>
      <c r="AG28" s="204"/>
      <c r="AH28" s="208"/>
      <c r="AI28" s="208"/>
      <c r="AJ28" s="208"/>
      <c r="AK28" s="208"/>
      <c r="AL28" s="204"/>
      <c r="AM28" s="204"/>
      <c r="AN28" s="204"/>
      <c r="AO28" s="204"/>
      <c r="AP28" s="204"/>
      <c r="AQ28" s="204"/>
      <c r="AR28" s="204"/>
      <c r="AS28" s="204"/>
      <c r="AT28" s="204"/>
      <c r="AU28" s="204"/>
      <c r="AV28" s="206"/>
    </row>
    <row r="29" spans="1:48" s="214" customFormat="1" ht="12.75" x14ac:dyDescent="0.25">
      <c r="A29" s="210"/>
      <c r="B29" s="201"/>
      <c r="C29" s="201"/>
      <c r="D29" s="202"/>
      <c r="E29" s="201"/>
      <c r="F29" s="201"/>
      <c r="G29" s="201"/>
      <c r="H29" s="201"/>
      <c r="I29" s="203"/>
      <c r="J29" s="203"/>
      <c r="K29" s="201"/>
      <c r="L29" s="201"/>
      <c r="M29" s="211"/>
      <c r="N29" s="211"/>
      <c r="O29" s="211"/>
      <c r="P29" s="207"/>
      <c r="Q29" s="211"/>
      <c r="R29" s="211"/>
      <c r="S29" s="211"/>
      <c r="T29" s="211"/>
      <c r="U29" s="211"/>
      <c r="V29" s="211"/>
      <c r="W29" s="211"/>
      <c r="X29" s="207"/>
      <c r="Y29" s="211"/>
      <c r="Z29" s="211"/>
      <c r="AA29" s="207"/>
      <c r="AB29" s="207"/>
      <c r="AC29" s="211"/>
      <c r="AD29" s="207"/>
      <c r="AE29" s="207"/>
      <c r="AF29" s="212"/>
      <c r="AG29" s="211"/>
      <c r="AH29" s="212"/>
      <c r="AI29" s="212"/>
      <c r="AJ29" s="212"/>
      <c r="AK29" s="212"/>
      <c r="AL29" s="211"/>
      <c r="AM29" s="211"/>
      <c r="AN29" s="211"/>
      <c r="AO29" s="211"/>
      <c r="AP29" s="211"/>
      <c r="AQ29" s="211"/>
      <c r="AR29" s="211"/>
      <c r="AS29" s="211"/>
      <c r="AT29" s="211"/>
      <c r="AU29" s="211"/>
      <c r="AV29" s="211"/>
    </row>
    <row r="30" spans="1:48" s="214" customFormat="1" ht="12.75" x14ac:dyDescent="0.25">
      <c r="A30" s="210"/>
      <c r="B30" s="201"/>
      <c r="C30" s="201"/>
      <c r="D30" s="202"/>
      <c r="E30" s="201"/>
      <c r="F30" s="201"/>
      <c r="G30" s="201"/>
      <c r="H30" s="201"/>
      <c r="I30" s="203"/>
      <c r="J30" s="203"/>
      <c r="K30" s="201"/>
      <c r="L30" s="201"/>
      <c r="M30" s="211"/>
      <c r="N30" s="211"/>
      <c r="O30" s="211"/>
      <c r="P30" s="207"/>
      <c r="Q30" s="211"/>
      <c r="R30" s="211"/>
      <c r="S30" s="211"/>
      <c r="T30" s="211"/>
      <c r="U30" s="211"/>
      <c r="V30" s="211"/>
      <c r="W30" s="211"/>
      <c r="X30" s="207"/>
      <c r="Y30" s="211"/>
      <c r="Z30" s="211"/>
      <c r="AA30" s="207"/>
      <c r="AB30" s="207"/>
      <c r="AC30" s="211"/>
      <c r="AD30" s="207"/>
      <c r="AE30" s="207"/>
      <c r="AF30" s="212"/>
      <c r="AG30" s="211"/>
      <c r="AH30" s="212"/>
      <c r="AI30" s="212"/>
      <c r="AJ30" s="212"/>
      <c r="AK30" s="212"/>
      <c r="AL30" s="211"/>
      <c r="AM30" s="211"/>
      <c r="AN30" s="211"/>
      <c r="AO30" s="211"/>
      <c r="AP30" s="211"/>
      <c r="AQ30" s="211"/>
      <c r="AR30" s="211"/>
      <c r="AS30" s="211"/>
      <c r="AT30" s="211"/>
      <c r="AU30" s="211"/>
      <c r="AV30" s="211"/>
    </row>
    <row r="31" spans="1:48" s="214" customFormat="1" ht="12.75" x14ac:dyDescent="0.25">
      <c r="A31" s="210"/>
      <c r="B31" s="201"/>
      <c r="C31" s="201"/>
      <c r="D31" s="202"/>
      <c r="E31" s="201"/>
      <c r="F31" s="201"/>
      <c r="G31" s="201"/>
      <c r="H31" s="201"/>
      <c r="I31" s="203"/>
      <c r="J31" s="203"/>
      <c r="K31" s="201"/>
      <c r="L31" s="201"/>
      <c r="M31" s="211"/>
      <c r="N31" s="211"/>
      <c r="O31" s="211"/>
      <c r="P31" s="207"/>
      <c r="Q31" s="211"/>
      <c r="R31" s="211"/>
      <c r="S31" s="211"/>
      <c r="T31" s="211"/>
      <c r="U31" s="211"/>
      <c r="V31" s="211"/>
      <c r="W31" s="211"/>
      <c r="X31" s="207"/>
      <c r="Y31" s="211"/>
      <c r="Z31" s="211"/>
      <c r="AA31" s="207"/>
      <c r="AB31" s="207"/>
      <c r="AC31" s="211"/>
      <c r="AD31" s="207"/>
      <c r="AE31" s="207"/>
      <c r="AF31" s="212"/>
      <c r="AG31" s="211"/>
      <c r="AH31" s="212"/>
      <c r="AI31" s="212"/>
      <c r="AJ31" s="212"/>
      <c r="AK31" s="212"/>
      <c r="AL31" s="211"/>
      <c r="AM31" s="211"/>
      <c r="AN31" s="211"/>
      <c r="AO31" s="211"/>
      <c r="AP31" s="211"/>
      <c r="AQ31" s="211"/>
      <c r="AR31" s="211"/>
      <c r="AS31" s="211"/>
      <c r="AT31" s="211"/>
      <c r="AU31" s="211"/>
      <c r="AV31" s="211"/>
    </row>
    <row r="32" spans="1:48" s="214" customFormat="1" ht="12.75" x14ac:dyDescent="0.25">
      <c r="A32" s="210"/>
      <c r="B32" s="201"/>
      <c r="C32" s="201"/>
      <c r="D32" s="202"/>
      <c r="E32" s="201"/>
      <c r="F32" s="201"/>
      <c r="G32" s="201"/>
      <c r="H32" s="201"/>
      <c r="I32" s="203"/>
      <c r="J32" s="203"/>
      <c r="K32" s="201"/>
      <c r="L32" s="201"/>
      <c r="M32" s="211"/>
      <c r="N32" s="211"/>
      <c r="O32" s="211"/>
      <c r="P32" s="207"/>
      <c r="Q32" s="211"/>
      <c r="R32" s="211"/>
      <c r="S32" s="211"/>
      <c r="T32" s="211"/>
      <c r="U32" s="211"/>
      <c r="V32" s="211"/>
      <c r="W32" s="211"/>
      <c r="X32" s="207"/>
      <c r="Y32" s="211"/>
      <c r="Z32" s="211"/>
      <c r="AA32" s="207"/>
      <c r="AB32" s="207"/>
      <c r="AC32" s="211"/>
      <c r="AD32" s="207"/>
      <c r="AE32" s="207"/>
      <c r="AF32" s="212"/>
      <c r="AG32" s="211"/>
      <c r="AH32" s="212"/>
      <c r="AI32" s="212"/>
      <c r="AJ32" s="212"/>
      <c r="AK32" s="212"/>
      <c r="AL32" s="211"/>
      <c r="AM32" s="211"/>
      <c r="AN32" s="211"/>
      <c r="AO32" s="211"/>
      <c r="AP32" s="211"/>
      <c r="AQ32" s="211"/>
      <c r="AR32" s="211"/>
      <c r="AS32" s="211"/>
      <c r="AT32" s="211"/>
      <c r="AU32" s="211"/>
      <c r="AV32" s="211"/>
    </row>
    <row r="33" spans="1:48" s="214" customFormat="1" ht="12.75" x14ac:dyDescent="0.25">
      <c r="A33" s="210"/>
      <c r="B33" s="201"/>
      <c r="C33" s="201"/>
      <c r="D33" s="202"/>
      <c r="E33" s="201"/>
      <c r="F33" s="201"/>
      <c r="G33" s="201"/>
      <c r="H33" s="201"/>
      <c r="I33" s="203"/>
      <c r="J33" s="203"/>
      <c r="K33" s="201"/>
      <c r="L33" s="201"/>
      <c r="M33" s="211"/>
      <c r="N33" s="211"/>
      <c r="O33" s="211"/>
      <c r="P33" s="207"/>
      <c r="Q33" s="211"/>
      <c r="R33" s="211"/>
      <c r="S33" s="211"/>
      <c r="T33" s="211"/>
      <c r="U33" s="211"/>
      <c r="V33" s="211"/>
      <c r="W33" s="211"/>
      <c r="X33" s="207"/>
      <c r="Y33" s="211"/>
      <c r="Z33" s="211"/>
      <c r="AA33" s="207"/>
      <c r="AB33" s="207"/>
      <c r="AC33" s="211"/>
      <c r="AD33" s="207"/>
      <c r="AE33" s="207"/>
      <c r="AF33" s="212"/>
      <c r="AG33" s="211"/>
      <c r="AH33" s="212"/>
      <c r="AI33" s="212"/>
      <c r="AJ33" s="212"/>
      <c r="AK33" s="212"/>
      <c r="AL33" s="211"/>
      <c r="AM33" s="211"/>
      <c r="AN33" s="211"/>
      <c r="AO33" s="211"/>
      <c r="AP33" s="211"/>
      <c r="AQ33" s="211"/>
      <c r="AR33" s="211"/>
      <c r="AS33" s="211"/>
      <c r="AT33" s="211"/>
      <c r="AU33" s="211"/>
      <c r="AV33" s="211"/>
    </row>
    <row r="34" spans="1:48" s="214" customFormat="1" ht="12.75" x14ac:dyDescent="0.25">
      <c r="A34" s="210"/>
      <c r="B34" s="201"/>
      <c r="C34" s="201"/>
      <c r="D34" s="202"/>
      <c r="E34" s="201"/>
      <c r="F34" s="201"/>
      <c r="G34" s="201"/>
      <c r="H34" s="201"/>
      <c r="I34" s="203"/>
      <c r="J34" s="203"/>
      <c r="K34" s="201"/>
      <c r="L34" s="201"/>
      <c r="M34" s="211"/>
      <c r="N34" s="211"/>
      <c r="O34" s="211"/>
      <c r="P34" s="207"/>
      <c r="Q34" s="211"/>
      <c r="R34" s="211"/>
      <c r="S34" s="211"/>
      <c r="T34" s="211"/>
      <c r="U34" s="211"/>
      <c r="V34" s="211"/>
      <c r="W34" s="211"/>
      <c r="X34" s="207"/>
      <c r="Y34" s="211"/>
      <c r="Z34" s="211"/>
      <c r="AA34" s="207"/>
      <c r="AB34" s="207"/>
      <c r="AC34" s="211"/>
      <c r="AD34" s="207"/>
      <c r="AE34" s="207"/>
      <c r="AF34" s="212"/>
      <c r="AG34" s="211"/>
      <c r="AH34" s="212"/>
      <c r="AI34" s="212"/>
      <c r="AJ34" s="212"/>
      <c r="AK34" s="212"/>
      <c r="AL34" s="211"/>
      <c r="AM34" s="211"/>
      <c r="AN34" s="211"/>
      <c r="AO34" s="211"/>
      <c r="AP34" s="211"/>
      <c r="AQ34" s="211"/>
      <c r="AR34" s="211"/>
      <c r="AS34" s="211"/>
      <c r="AT34" s="211"/>
      <c r="AU34" s="211"/>
      <c r="AV34" s="211"/>
    </row>
    <row r="35" spans="1:48" s="214" customFormat="1" ht="12.75" x14ac:dyDescent="0.25">
      <c r="A35" s="210"/>
      <c r="B35" s="201"/>
      <c r="C35" s="201"/>
      <c r="D35" s="202"/>
      <c r="E35" s="201"/>
      <c r="F35" s="201"/>
      <c r="G35" s="201"/>
      <c r="H35" s="201"/>
      <c r="I35" s="203"/>
      <c r="J35" s="203"/>
      <c r="K35" s="201"/>
      <c r="L35" s="201"/>
      <c r="M35" s="211"/>
      <c r="N35" s="211"/>
      <c r="O35" s="211"/>
      <c r="P35" s="207"/>
      <c r="Q35" s="211"/>
      <c r="R35" s="211"/>
      <c r="S35" s="211"/>
      <c r="T35" s="211"/>
      <c r="U35" s="211"/>
      <c r="V35" s="211"/>
      <c r="W35" s="211"/>
      <c r="X35" s="207"/>
      <c r="Y35" s="211"/>
      <c r="Z35" s="211"/>
      <c r="AA35" s="207"/>
      <c r="AB35" s="207"/>
      <c r="AC35" s="211"/>
      <c r="AD35" s="207"/>
      <c r="AE35" s="207"/>
      <c r="AF35" s="212"/>
      <c r="AG35" s="211"/>
      <c r="AH35" s="212"/>
      <c r="AI35" s="212"/>
      <c r="AJ35" s="212"/>
      <c r="AK35" s="212"/>
      <c r="AL35" s="211"/>
      <c r="AM35" s="211"/>
      <c r="AN35" s="211"/>
      <c r="AO35" s="211"/>
      <c r="AP35" s="211"/>
      <c r="AQ35" s="211"/>
      <c r="AR35" s="211"/>
      <c r="AS35" s="211"/>
      <c r="AT35" s="211"/>
      <c r="AU35" s="211"/>
      <c r="AV35" s="211"/>
    </row>
    <row r="36" spans="1:48" s="214" customFormat="1" ht="12.75" x14ac:dyDescent="0.25">
      <c r="A36" s="210"/>
      <c r="B36" s="201"/>
      <c r="C36" s="201"/>
      <c r="D36" s="202"/>
      <c r="E36" s="201"/>
      <c r="F36" s="201"/>
      <c r="G36" s="201"/>
      <c r="H36" s="201"/>
      <c r="I36" s="203"/>
      <c r="J36" s="203"/>
      <c r="K36" s="201"/>
      <c r="L36" s="201"/>
      <c r="M36" s="211"/>
      <c r="N36" s="211"/>
      <c r="O36" s="211"/>
      <c r="P36" s="207"/>
      <c r="Q36" s="211"/>
      <c r="R36" s="211"/>
      <c r="S36" s="211"/>
      <c r="T36" s="211"/>
      <c r="U36" s="211"/>
      <c r="V36" s="211"/>
      <c r="W36" s="211"/>
      <c r="X36" s="207"/>
      <c r="Y36" s="211"/>
      <c r="Z36" s="211"/>
      <c r="AA36" s="207"/>
      <c r="AB36" s="207"/>
      <c r="AC36" s="211"/>
      <c r="AD36" s="207"/>
      <c r="AE36" s="207"/>
      <c r="AF36" s="212"/>
      <c r="AG36" s="211"/>
      <c r="AH36" s="212"/>
      <c r="AI36" s="212"/>
      <c r="AJ36" s="212"/>
      <c r="AK36" s="212"/>
      <c r="AL36" s="211"/>
      <c r="AM36" s="211"/>
      <c r="AN36" s="211"/>
      <c r="AO36" s="211"/>
      <c r="AP36" s="211"/>
      <c r="AQ36" s="211"/>
      <c r="AR36" s="211"/>
      <c r="AS36" s="211"/>
      <c r="AT36" s="211"/>
      <c r="AU36" s="211"/>
      <c r="AV36" s="211"/>
    </row>
    <row r="37" spans="1:48" s="214" customFormat="1" ht="12.75" x14ac:dyDescent="0.25">
      <c r="A37" s="210"/>
      <c r="B37" s="201"/>
      <c r="C37" s="201"/>
      <c r="D37" s="202"/>
      <c r="E37" s="201"/>
      <c r="F37" s="201"/>
      <c r="G37" s="201"/>
      <c r="H37" s="201"/>
      <c r="I37" s="203"/>
      <c r="J37" s="203"/>
      <c r="K37" s="201"/>
      <c r="L37" s="201"/>
      <c r="M37" s="211"/>
      <c r="N37" s="211"/>
      <c r="O37" s="211"/>
      <c r="P37" s="207"/>
      <c r="Q37" s="211"/>
      <c r="R37" s="211"/>
      <c r="S37" s="211"/>
      <c r="T37" s="211"/>
      <c r="U37" s="211"/>
      <c r="V37" s="211"/>
      <c r="W37" s="211"/>
      <c r="X37" s="207"/>
      <c r="Y37" s="211"/>
      <c r="Z37" s="211"/>
      <c r="AA37" s="207"/>
      <c r="AB37" s="207"/>
      <c r="AC37" s="211"/>
      <c r="AD37" s="207"/>
      <c r="AE37" s="207"/>
      <c r="AF37" s="212"/>
      <c r="AG37" s="211"/>
      <c r="AH37" s="212"/>
      <c r="AI37" s="212"/>
      <c r="AJ37" s="212"/>
      <c r="AK37" s="212"/>
      <c r="AL37" s="211"/>
      <c r="AM37" s="211"/>
      <c r="AN37" s="211"/>
      <c r="AO37" s="211"/>
      <c r="AP37" s="211"/>
      <c r="AQ37" s="211"/>
      <c r="AR37" s="211"/>
      <c r="AS37" s="211"/>
      <c r="AT37" s="211"/>
      <c r="AU37" s="211"/>
      <c r="AV37" s="211"/>
    </row>
    <row r="38" spans="1:48" s="214" customFormat="1" ht="12.75" x14ac:dyDescent="0.25">
      <c r="A38" s="210"/>
      <c r="B38" s="201"/>
      <c r="C38" s="201"/>
      <c r="D38" s="202"/>
      <c r="E38" s="201"/>
      <c r="F38" s="201"/>
      <c r="G38" s="201"/>
      <c r="H38" s="201"/>
      <c r="I38" s="203"/>
      <c r="J38" s="203"/>
      <c r="K38" s="201"/>
      <c r="L38" s="201"/>
      <c r="M38" s="211"/>
      <c r="N38" s="211"/>
      <c r="O38" s="211"/>
      <c r="P38" s="207"/>
      <c r="Q38" s="211"/>
      <c r="R38" s="211"/>
      <c r="S38" s="211"/>
      <c r="T38" s="211"/>
      <c r="U38" s="211"/>
      <c r="V38" s="211"/>
      <c r="W38" s="211"/>
      <c r="X38" s="207"/>
      <c r="Y38" s="211"/>
      <c r="Z38" s="211"/>
      <c r="AA38" s="207"/>
      <c r="AB38" s="207"/>
      <c r="AC38" s="211"/>
      <c r="AD38" s="207"/>
      <c r="AE38" s="207"/>
      <c r="AF38" s="212"/>
      <c r="AG38" s="211"/>
      <c r="AH38" s="212"/>
      <c r="AI38" s="212"/>
      <c r="AJ38" s="212"/>
      <c r="AK38" s="212"/>
      <c r="AL38" s="211"/>
      <c r="AM38" s="211"/>
      <c r="AN38" s="211"/>
      <c r="AO38" s="211"/>
      <c r="AP38" s="211"/>
      <c r="AQ38" s="211"/>
      <c r="AR38" s="211"/>
      <c r="AS38" s="211"/>
      <c r="AT38" s="211"/>
      <c r="AU38" s="211"/>
      <c r="AV38" s="211"/>
    </row>
    <row r="39" spans="1:48" s="214" customFormat="1" ht="12.75" x14ac:dyDescent="0.25">
      <c r="A39" s="210"/>
      <c r="B39" s="201"/>
      <c r="C39" s="201"/>
      <c r="D39" s="202"/>
      <c r="E39" s="201"/>
      <c r="F39" s="201"/>
      <c r="G39" s="201"/>
      <c r="H39" s="201"/>
      <c r="I39" s="203"/>
      <c r="J39" s="203"/>
      <c r="K39" s="201"/>
      <c r="L39" s="201"/>
      <c r="M39" s="211"/>
      <c r="N39" s="211"/>
      <c r="O39" s="211"/>
      <c r="P39" s="207"/>
      <c r="Q39" s="211"/>
      <c r="R39" s="211"/>
      <c r="S39" s="211"/>
      <c r="T39" s="211"/>
      <c r="U39" s="211"/>
      <c r="V39" s="211"/>
      <c r="W39" s="211"/>
      <c r="X39" s="207"/>
      <c r="Y39" s="211"/>
      <c r="Z39" s="211"/>
      <c r="AA39" s="207"/>
      <c r="AB39" s="207"/>
      <c r="AC39" s="211"/>
      <c r="AD39" s="207"/>
      <c r="AE39" s="207"/>
      <c r="AF39" s="212"/>
      <c r="AG39" s="211"/>
      <c r="AH39" s="212"/>
      <c r="AI39" s="212"/>
      <c r="AJ39" s="212"/>
      <c r="AK39" s="212"/>
      <c r="AL39" s="211"/>
      <c r="AM39" s="211"/>
      <c r="AN39" s="211"/>
      <c r="AO39" s="211"/>
      <c r="AP39" s="211"/>
      <c r="AQ39" s="211"/>
      <c r="AR39" s="211"/>
      <c r="AS39" s="211"/>
      <c r="AT39" s="211"/>
      <c r="AU39" s="211"/>
      <c r="AV39" s="211"/>
    </row>
    <row r="40" spans="1:48" s="214" customFormat="1" ht="12.75" x14ac:dyDescent="0.25">
      <c r="A40" s="210"/>
      <c r="B40" s="201"/>
      <c r="C40" s="201"/>
      <c r="D40" s="202"/>
      <c r="E40" s="201"/>
      <c r="F40" s="201"/>
      <c r="G40" s="201"/>
      <c r="H40" s="201"/>
      <c r="I40" s="203"/>
      <c r="J40" s="203"/>
      <c r="K40" s="201"/>
      <c r="L40" s="201"/>
      <c r="M40" s="211"/>
      <c r="N40" s="211"/>
      <c r="O40" s="211"/>
      <c r="P40" s="207"/>
      <c r="Q40" s="211"/>
      <c r="R40" s="211"/>
      <c r="S40" s="211"/>
      <c r="T40" s="211"/>
      <c r="U40" s="211"/>
      <c r="V40" s="211"/>
      <c r="W40" s="211"/>
      <c r="X40" s="207"/>
      <c r="Y40" s="211"/>
      <c r="Z40" s="211"/>
      <c r="AA40" s="207"/>
      <c r="AB40" s="207"/>
      <c r="AC40" s="211"/>
      <c r="AD40" s="207"/>
      <c r="AE40" s="207"/>
      <c r="AF40" s="212"/>
      <c r="AG40" s="211"/>
      <c r="AH40" s="212"/>
      <c r="AI40" s="212"/>
      <c r="AJ40" s="212"/>
      <c r="AK40" s="212"/>
      <c r="AL40" s="211"/>
      <c r="AM40" s="211"/>
      <c r="AN40" s="211"/>
      <c r="AO40" s="211"/>
      <c r="AP40" s="211"/>
      <c r="AQ40" s="211"/>
      <c r="AR40" s="211"/>
      <c r="AS40" s="211"/>
      <c r="AT40" s="211"/>
      <c r="AU40" s="211"/>
      <c r="AV40" s="211"/>
    </row>
    <row r="41" spans="1:48" s="214" customFormat="1" ht="12.75" x14ac:dyDescent="0.25">
      <c r="A41" s="210"/>
      <c r="B41" s="201"/>
      <c r="C41" s="201"/>
      <c r="D41" s="202"/>
      <c r="E41" s="201"/>
      <c r="F41" s="201"/>
      <c r="G41" s="201"/>
      <c r="H41" s="201"/>
      <c r="I41" s="203"/>
      <c r="J41" s="203"/>
      <c r="K41" s="201"/>
      <c r="L41" s="201"/>
      <c r="M41" s="211"/>
      <c r="N41" s="211"/>
      <c r="O41" s="211"/>
      <c r="P41" s="207"/>
      <c r="Q41" s="211"/>
      <c r="R41" s="211"/>
      <c r="S41" s="211"/>
      <c r="T41" s="211"/>
      <c r="U41" s="211"/>
      <c r="V41" s="211"/>
      <c r="W41" s="211"/>
      <c r="X41" s="207"/>
      <c r="Y41" s="211"/>
      <c r="Z41" s="211"/>
      <c r="AA41" s="207"/>
      <c r="AB41" s="207"/>
      <c r="AC41" s="211"/>
      <c r="AD41" s="207"/>
      <c r="AE41" s="207"/>
      <c r="AF41" s="212"/>
      <c r="AG41" s="211"/>
      <c r="AH41" s="212"/>
      <c r="AI41" s="212"/>
      <c r="AJ41" s="212"/>
      <c r="AK41" s="212"/>
      <c r="AL41" s="211"/>
      <c r="AM41" s="211"/>
      <c r="AN41" s="211"/>
      <c r="AO41" s="211"/>
      <c r="AP41" s="211"/>
      <c r="AQ41" s="211"/>
      <c r="AR41" s="211"/>
      <c r="AS41" s="211"/>
      <c r="AT41" s="211"/>
      <c r="AU41" s="211"/>
      <c r="AV41" s="211"/>
    </row>
    <row r="42" spans="1:48" s="214" customFormat="1" ht="12.75" x14ac:dyDescent="0.25">
      <c r="A42" s="210"/>
      <c r="B42" s="201"/>
      <c r="C42" s="201"/>
      <c r="D42" s="202"/>
      <c r="E42" s="201"/>
      <c r="F42" s="201"/>
      <c r="G42" s="201"/>
      <c r="H42" s="201"/>
      <c r="I42" s="203"/>
      <c r="J42" s="203"/>
      <c r="K42" s="201"/>
      <c r="L42" s="201"/>
      <c r="M42" s="211"/>
      <c r="N42" s="211"/>
      <c r="O42" s="211"/>
      <c r="P42" s="207"/>
      <c r="Q42" s="211"/>
      <c r="R42" s="211"/>
      <c r="S42" s="211"/>
      <c r="T42" s="211"/>
      <c r="U42" s="211"/>
      <c r="V42" s="211"/>
      <c r="W42" s="211"/>
      <c r="X42" s="207"/>
      <c r="Y42" s="211"/>
      <c r="Z42" s="211"/>
      <c r="AA42" s="207"/>
      <c r="AB42" s="207"/>
      <c r="AC42" s="211"/>
      <c r="AD42" s="207"/>
      <c r="AE42" s="207"/>
      <c r="AF42" s="212"/>
      <c r="AG42" s="211"/>
      <c r="AH42" s="212"/>
      <c r="AI42" s="212"/>
      <c r="AJ42" s="212"/>
      <c r="AK42" s="212"/>
      <c r="AL42" s="211"/>
      <c r="AM42" s="211"/>
      <c r="AN42" s="211"/>
      <c r="AO42" s="211"/>
      <c r="AP42" s="211"/>
      <c r="AQ42" s="211"/>
      <c r="AR42" s="211"/>
      <c r="AS42" s="211"/>
      <c r="AT42" s="211"/>
      <c r="AU42" s="211"/>
      <c r="AV42" s="211"/>
    </row>
    <row r="43" spans="1:48" x14ac:dyDescent="0.25">
      <c r="AD43" s="215">
        <f>SUM(AD26:AD42)</f>
        <v>2904.2879800000001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4" zoomScale="90" zoomScaleNormal="90" zoomScaleSheetLayoutView="90" workbookViewId="0">
      <selection activeCell="B40" sqref="B40"/>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41" t="str">
        <f>'2. паспорт  ТП'!A4:S4</f>
        <v>Год раскрытия информации: 2024 год</v>
      </c>
      <c r="B5" s="541"/>
      <c r="C5" s="25"/>
      <c r="D5" s="25"/>
      <c r="E5" s="25"/>
      <c r="F5" s="25"/>
      <c r="G5" s="25"/>
      <c r="H5" s="25"/>
    </row>
    <row r="6" spans="1:8" ht="18.75" x14ac:dyDescent="0.3">
      <c r="A6" s="166"/>
      <c r="B6" s="166"/>
      <c r="C6" s="166"/>
      <c r="D6" s="166"/>
      <c r="E6" s="166"/>
      <c r="F6" s="166"/>
      <c r="G6" s="166"/>
      <c r="H6" s="166"/>
    </row>
    <row r="7" spans="1:8" ht="18.75" x14ac:dyDescent="0.25">
      <c r="A7" s="495" t="s">
        <v>7</v>
      </c>
      <c r="B7" s="495"/>
      <c r="C7" s="197"/>
      <c r="D7" s="197"/>
      <c r="E7" s="197"/>
      <c r="F7" s="197"/>
      <c r="G7" s="197"/>
      <c r="H7" s="197"/>
    </row>
    <row r="8" spans="1:8" ht="18.75" x14ac:dyDescent="0.25">
      <c r="A8" s="197"/>
      <c r="B8" s="197"/>
      <c r="C8" s="197"/>
      <c r="D8" s="197"/>
      <c r="E8" s="197"/>
      <c r="F8" s="197"/>
      <c r="G8" s="197"/>
      <c r="H8" s="197"/>
    </row>
    <row r="9" spans="1:8" x14ac:dyDescent="0.25">
      <c r="A9" s="496" t="str">
        <f>'1. паспорт местоположение'!A9:C9</f>
        <v>Акционерное общество "Россети Янтарь" ДЗО  ПАО "Россети"</v>
      </c>
      <c r="B9" s="496"/>
      <c r="C9" s="198"/>
      <c r="D9" s="198"/>
      <c r="E9" s="198"/>
      <c r="F9" s="198"/>
      <c r="G9" s="198"/>
      <c r="H9" s="198"/>
    </row>
    <row r="10" spans="1:8" x14ac:dyDescent="0.25">
      <c r="A10" s="482" t="s">
        <v>6</v>
      </c>
      <c r="B10" s="482"/>
      <c r="C10" s="199"/>
      <c r="D10" s="199"/>
      <c r="E10" s="199"/>
      <c r="F10" s="199"/>
      <c r="G10" s="199"/>
      <c r="H10" s="199"/>
    </row>
    <row r="11" spans="1:8" ht="18.75" x14ac:dyDescent="0.25">
      <c r="A11" s="197"/>
      <c r="B11" s="197"/>
      <c r="C11" s="197"/>
      <c r="D11" s="197"/>
      <c r="E11" s="197"/>
      <c r="F11" s="197"/>
      <c r="G11" s="197"/>
      <c r="H11" s="197"/>
    </row>
    <row r="12" spans="1:8" x14ac:dyDescent="0.25">
      <c r="A12" s="496" t="str">
        <f>'1. паспорт местоположение'!A12:C12</f>
        <v>O_23-1261</v>
      </c>
      <c r="B12" s="496"/>
      <c r="C12" s="198"/>
      <c r="D12" s="198"/>
      <c r="E12" s="198"/>
      <c r="F12" s="198"/>
      <c r="G12" s="198"/>
      <c r="H12" s="198"/>
    </row>
    <row r="13" spans="1:8" x14ac:dyDescent="0.25">
      <c r="A13" s="482" t="s">
        <v>5</v>
      </c>
      <c r="B13" s="482"/>
      <c r="C13" s="199"/>
      <c r="D13" s="199"/>
      <c r="E13" s="199"/>
      <c r="F13" s="199"/>
      <c r="G13" s="199"/>
      <c r="H13" s="199"/>
    </row>
    <row r="14" spans="1:8" ht="18.75" x14ac:dyDescent="0.25">
      <c r="A14" s="104"/>
      <c r="B14" s="104"/>
      <c r="C14" s="104"/>
      <c r="D14" s="104"/>
      <c r="E14" s="104"/>
      <c r="F14" s="104"/>
      <c r="G14" s="104"/>
      <c r="H14" s="104"/>
    </row>
    <row r="15" spans="1:8" x14ac:dyDescent="0.25">
      <c r="A15" s="483" t="str">
        <f>'1. паспорт местоположение'!A15:C15</f>
        <v>Строительство ЛЭП 0,4 кВ от ТП 034-10, организация системы учета электроэнергии г. Гурьевск, Пражский бульвар</v>
      </c>
      <c r="B15" s="483"/>
      <c r="C15" s="198"/>
      <c r="D15" s="198"/>
      <c r="E15" s="198"/>
      <c r="F15" s="198"/>
      <c r="G15" s="198"/>
      <c r="H15" s="198"/>
    </row>
    <row r="16" spans="1:8" x14ac:dyDescent="0.25">
      <c r="A16" s="482" t="s">
        <v>4</v>
      </c>
      <c r="B16" s="482"/>
      <c r="C16" s="199"/>
      <c r="D16" s="199"/>
      <c r="E16" s="199"/>
      <c r="F16" s="199"/>
      <c r="G16" s="199"/>
      <c r="H16" s="199"/>
    </row>
    <row r="17" spans="1:2" x14ac:dyDescent="0.25">
      <c r="B17" s="28"/>
    </row>
    <row r="18" spans="1:2" x14ac:dyDescent="0.25">
      <c r="A18" s="542" t="s">
        <v>373</v>
      </c>
      <c r="B18" s="543"/>
    </row>
    <row r="19" spans="1:2" x14ac:dyDescent="0.25">
      <c r="B19" s="5"/>
    </row>
    <row r="20" spans="1:2" ht="16.5" thickBot="1" x14ac:dyDescent="0.3">
      <c r="B20" s="29"/>
    </row>
    <row r="21" spans="1:2" ht="30.75" thickBot="1" x14ac:dyDescent="0.3">
      <c r="A21" s="30" t="s">
        <v>272</v>
      </c>
      <c r="B21" s="55" t="str">
        <f>A15</f>
        <v>Строительство ЛЭП 0,4 кВ от ТП 034-10, организация системы учета электроэнергии г. Гурьевск, Пражский бульвар</v>
      </c>
    </row>
    <row r="22" spans="1:2" ht="16.5" thickBot="1" x14ac:dyDescent="0.3">
      <c r="A22" s="30" t="s">
        <v>273</v>
      </c>
      <c r="B22" s="5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0" t="s">
        <v>257</v>
      </c>
      <c r="B23" s="57" t="s">
        <v>536</v>
      </c>
    </row>
    <row r="24" spans="1:2" ht="16.5" thickBot="1" x14ac:dyDescent="0.3">
      <c r="A24" s="30" t="s">
        <v>274</v>
      </c>
      <c r="B24" s="58" t="str">
        <f>CONCATENATE('3.2 паспорт Техсостояние ЛЭП'!R27," (",'3.2 паспорт Техсостояние ЛЭП'!S27,") км")</f>
        <v>0,354 (0,354) км</v>
      </c>
    </row>
    <row r="25" spans="1:2" ht="16.5" thickBot="1" x14ac:dyDescent="0.3">
      <c r="A25" s="31" t="s">
        <v>275</v>
      </c>
      <c r="B25" s="59">
        <v>2024</v>
      </c>
    </row>
    <row r="26" spans="1:2" ht="16.5" thickBot="1" x14ac:dyDescent="0.3">
      <c r="A26" s="32" t="s">
        <v>276</v>
      </c>
      <c r="B26" s="60" t="s">
        <v>615</v>
      </c>
    </row>
    <row r="27" spans="1:2" ht="29.25" thickBot="1" x14ac:dyDescent="0.3">
      <c r="A27" s="38" t="s">
        <v>612</v>
      </c>
      <c r="B27" s="144">
        <f>'5. анализ эконом эфф'!B122</f>
        <v>6.04399</v>
      </c>
    </row>
    <row r="28" spans="1:2" ht="16.5" thickBot="1" x14ac:dyDescent="0.3">
      <c r="A28" s="34" t="s">
        <v>277</v>
      </c>
      <c r="B28" s="60" t="s">
        <v>638</v>
      </c>
    </row>
    <row r="29" spans="1:2" ht="29.25" thickBot="1" x14ac:dyDescent="0.3">
      <c r="A29" s="39" t="s">
        <v>278</v>
      </c>
      <c r="B29" s="144">
        <f>'7. Паспорт отчет о закупке'!AD43/1000</f>
        <v>2.9042879799999999</v>
      </c>
    </row>
    <row r="30" spans="1:2" ht="29.25" thickBot="1" x14ac:dyDescent="0.3">
      <c r="A30" s="39" t="s">
        <v>279</v>
      </c>
      <c r="B30" s="144">
        <f>B32+B49+B66</f>
        <v>2.9042879799999999</v>
      </c>
    </row>
    <row r="31" spans="1:2" ht="16.5" thickBot="1" x14ac:dyDescent="0.3">
      <c r="A31" s="34" t="s">
        <v>280</v>
      </c>
      <c r="B31" s="61"/>
    </row>
    <row r="32" spans="1:2" ht="29.25" thickBot="1" x14ac:dyDescent="0.3">
      <c r="A32" s="39" t="s">
        <v>281</v>
      </c>
      <c r="B32" s="144">
        <f>SUMIF(C33:C48,10,B33:B48)</f>
        <v>2.9042879799999999</v>
      </c>
    </row>
    <row r="33" spans="1:3" ht="30.75" thickBot="1" x14ac:dyDescent="0.3">
      <c r="A33" s="146" t="s">
        <v>628</v>
      </c>
      <c r="B33" s="216">
        <v>2.9042879799999999</v>
      </c>
      <c r="C33" s="16">
        <v>10</v>
      </c>
    </row>
    <row r="34" spans="1:3" ht="16.5" thickBot="1" x14ac:dyDescent="0.3">
      <c r="A34" s="34" t="s">
        <v>283</v>
      </c>
      <c r="B34" s="63">
        <f>B33/$B$27</f>
        <v>0.48052494792347439</v>
      </c>
    </row>
    <row r="35" spans="1:3" ht="16.5" thickBot="1" x14ac:dyDescent="0.3">
      <c r="A35" s="34" t="s">
        <v>284</v>
      </c>
      <c r="B35" s="144"/>
      <c r="C35" s="16">
        <v>1</v>
      </c>
    </row>
    <row r="36" spans="1:3" ht="16.5" thickBot="1" x14ac:dyDescent="0.3">
      <c r="A36" s="34" t="s">
        <v>285</v>
      </c>
      <c r="B36" s="144">
        <v>0.13832827</v>
      </c>
      <c r="C36" s="16">
        <v>2</v>
      </c>
    </row>
    <row r="37" spans="1:3" ht="16.5" thickBot="1" x14ac:dyDescent="0.3">
      <c r="A37" s="62" t="s">
        <v>282</v>
      </c>
      <c r="B37" s="217"/>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7"/>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7"/>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7"/>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7"/>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7"/>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7"/>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7"/>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7"/>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7"/>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7"/>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38">
        <f>B30/B27</f>
        <v>0.48052494792347439</v>
      </c>
    </row>
    <row r="84" spans="1:4" ht="16.5" thickBot="1" x14ac:dyDescent="0.3">
      <c r="A84" s="35" t="s">
        <v>280</v>
      </c>
      <c r="B84" s="339"/>
    </row>
    <row r="85" spans="1:4" ht="16.5" thickBot="1" x14ac:dyDescent="0.3">
      <c r="A85" s="35" t="s">
        <v>289</v>
      </c>
      <c r="B85" s="338">
        <f>B34-B87</f>
        <v>0.45306065297924053</v>
      </c>
    </row>
    <row r="86" spans="1:4" ht="16.5" thickBot="1" x14ac:dyDescent="0.3">
      <c r="A86" s="35" t="s">
        <v>290</v>
      </c>
      <c r="B86" s="338"/>
    </row>
    <row r="87" spans="1:4" ht="16.5" thickBot="1" x14ac:dyDescent="0.3">
      <c r="A87" s="35" t="s">
        <v>291</v>
      </c>
      <c r="B87" s="338">
        <f>0.13832827*1.2/B27</f>
        <v>2.7464294944233858E-2</v>
      </c>
    </row>
    <row r="88" spans="1:4" ht="16.5" thickBot="1" x14ac:dyDescent="0.3">
      <c r="A88" s="325" t="s">
        <v>595</v>
      </c>
      <c r="B88" s="326">
        <f xml:space="preserve"> SUMIF(C89:C92, 40,B89:B92)</f>
        <v>0</v>
      </c>
      <c r="C88" s="327"/>
      <c r="D88" s="328"/>
    </row>
    <row r="89" spans="1:4" ht="30.75" thickBot="1" x14ac:dyDescent="0.3">
      <c r="A89" s="146" t="s">
        <v>613</v>
      </c>
      <c r="B89" s="337"/>
      <c r="C89" s="329">
        <v>40</v>
      </c>
      <c r="D89" s="329"/>
    </row>
    <row r="90" spans="1:4" ht="16.5" thickBot="1" x14ac:dyDescent="0.3">
      <c r="A90" s="34" t="s">
        <v>283</v>
      </c>
      <c r="B90" s="330">
        <f>B89/B$27</f>
        <v>0</v>
      </c>
      <c r="C90" s="329"/>
      <c r="D90" s="329"/>
    </row>
    <row r="91" spans="1:4" ht="16.5" thickBot="1" x14ac:dyDescent="0.3">
      <c r="A91" s="34" t="s">
        <v>596</v>
      </c>
      <c r="B91" s="144"/>
      <c r="C91" s="329">
        <v>1</v>
      </c>
      <c r="D91" s="329"/>
    </row>
    <row r="92" spans="1:4" ht="16.5" thickBot="1" x14ac:dyDescent="0.3">
      <c r="A92" s="34" t="s">
        <v>597</v>
      </c>
      <c r="B92" s="144"/>
      <c r="C92" s="329">
        <v>2</v>
      </c>
      <c r="D92" s="329"/>
    </row>
    <row r="93" spans="1:4" ht="16.5" thickBot="1" x14ac:dyDescent="0.3">
      <c r="A93" s="31" t="s">
        <v>292</v>
      </c>
      <c r="B93" s="64">
        <f>B94/$B$27</f>
        <v>0</v>
      </c>
    </row>
    <row r="94" spans="1:4" ht="16.5" thickBot="1" x14ac:dyDescent="0.3">
      <c r="A94" s="31" t="s">
        <v>293</v>
      </c>
      <c r="B94" s="145">
        <f xml:space="preserve"> SUMIF(C33:C92, 1,B33:B92)</f>
        <v>0</v>
      </c>
    </row>
    <row r="95" spans="1:4" ht="16.5" thickBot="1" x14ac:dyDescent="0.3">
      <c r="A95" s="31" t="s">
        <v>294</v>
      </c>
      <c r="B95" s="64">
        <f>B96/$B$27</f>
        <v>2.2886912453528217E-2</v>
      </c>
    </row>
    <row r="96" spans="1:4" ht="16.5" thickBot="1" x14ac:dyDescent="0.3">
      <c r="A96" s="32" t="s">
        <v>295</v>
      </c>
      <c r="B96" s="145">
        <f xml:space="preserve"> SUMIF(C33:C92, 2,B33:B92)</f>
        <v>0.13832827</v>
      </c>
    </row>
    <row r="97" spans="1:2" ht="15.75" customHeight="1" x14ac:dyDescent="0.25">
      <c r="A97" s="33" t="s">
        <v>296</v>
      </c>
      <c r="B97" s="35" t="s">
        <v>401</v>
      </c>
    </row>
    <row r="98" spans="1:2" x14ac:dyDescent="0.25">
      <c r="A98" s="36" t="s">
        <v>297</v>
      </c>
      <c r="B98" s="36" t="s">
        <v>598</v>
      </c>
    </row>
    <row r="99" spans="1:2" x14ac:dyDescent="0.25">
      <c r="A99" s="36" t="s">
        <v>298</v>
      </c>
      <c r="B99" s="36" t="s">
        <v>629</v>
      </c>
    </row>
    <row r="100" spans="1:2" x14ac:dyDescent="0.25">
      <c r="A100" s="36" t="s">
        <v>299</v>
      </c>
      <c r="B100" s="36"/>
    </row>
    <row r="101" spans="1:2" x14ac:dyDescent="0.25">
      <c r="A101" s="36" t="s">
        <v>300</v>
      </c>
      <c r="B101" s="36" t="s">
        <v>629</v>
      </c>
    </row>
    <row r="102" spans="1:2" ht="16.5" thickBot="1" x14ac:dyDescent="0.3">
      <c r="A102" s="37" t="s">
        <v>301</v>
      </c>
      <c r="B102" s="37"/>
    </row>
    <row r="103" spans="1:2" ht="30.75" thickBot="1" x14ac:dyDescent="0.3">
      <c r="A103" s="35" t="s">
        <v>302</v>
      </c>
      <c r="B103" s="65" t="s">
        <v>478</v>
      </c>
    </row>
    <row r="104" spans="1:2" ht="29.25" thickBot="1" x14ac:dyDescent="0.3">
      <c r="A104" s="31" t="s">
        <v>303</v>
      </c>
      <c r="B104" s="323">
        <v>7</v>
      </c>
    </row>
    <row r="105" spans="1:2" ht="16.5" thickBot="1" x14ac:dyDescent="0.3">
      <c r="A105" s="35" t="s">
        <v>280</v>
      </c>
      <c r="B105" s="324"/>
    </row>
    <row r="106" spans="1:2" ht="16.5" thickBot="1" x14ac:dyDescent="0.3">
      <c r="A106" s="35" t="s">
        <v>304</v>
      </c>
      <c r="B106" s="323">
        <v>4</v>
      </c>
    </row>
    <row r="107" spans="1:2" ht="16.5" thickBot="1" x14ac:dyDescent="0.3">
      <c r="A107" s="35" t="s">
        <v>305</v>
      </c>
      <c r="B107" s="323">
        <v>3</v>
      </c>
    </row>
    <row r="108" spans="1:2" ht="16.5" thickBot="1" x14ac:dyDescent="0.3">
      <c r="A108" s="40" t="s">
        <v>306</v>
      </c>
      <c r="B108" s="221" t="s">
        <v>627</v>
      </c>
    </row>
    <row r="109" spans="1:2" ht="16.5" thickBot="1" x14ac:dyDescent="0.3">
      <c r="A109" s="31" t="s">
        <v>307</v>
      </c>
      <c r="B109" s="67"/>
    </row>
    <row r="110" spans="1:2" ht="16.5" thickBot="1" x14ac:dyDescent="0.3">
      <c r="A110" s="36" t="s">
        <v>308</v>
      </c>
      <c r="B110" s="218" t="str">
        <f>'6.1. Паспорт сетевой график'!D43</f>
        <v>нд</v>
      </c>
    </row>
    <row r="111" spans="1:2" ht="16.5" thickBot="1" x14ac:dyDescent="0.3">
      <c r="A111" s="36" t="s">
        <v>309</v>
      </c>
      <c r="B111" s="68" t="s">
        <v>478</v>
      </c>
    </row>
    <row r="112" spans="1:2" ht="16.5" thickBot="1" x14ac:dyDescent="0.3">
      <c r="A112" s="36" t="s">
        <v>310</v>
      </c>
      <c r="B112" s="68" t="s">
        <v>478</v>
      </c>
    </row>
    <row r="113" spans="1:2" ht="29.25" thickBot="1" x14ac:dyDescent="0.3">
      <c r="A113" s="41" t="s">
        <v>311</v>
      </c>
      <c r="B113" s="66" t="s">
        <v>478</v>
      </c>
    </row>
    <row r="114" spans="1:2" ht="28.5" customHeight="1" x14ac:dyDescent="0.25">
      <c r="A114" s="33" t="s">
        <v>312</v>
      </c>
      <c r="B114" s="544" t="s">
        <v>478</v>
      </c>
    </row>
    <row r="115" spans="1:2" x14ac:dyDescent="0.25">
      <c r="A115" s="36" t="s">
        <v>313</v>
      </c>
      <c r="B115" s="545"/>
    </row>
    <row r="116" spans="1:2" x14ac:dyDescent="0.25">
      <c r="A116" s="36" t="s">
        <v>314</v>
      </c>
      <c r="B116" s="545"/>
    </row>
    <row r="117" spans="1:2" x14ac:dyDescent="0.25">
      <c r="A117" s="36" t="s">
        <v>315</v>
      </c>
      <c r="B117" s="545"/>
    </row>
    <row r="118" spans="1:2" x14ac:dyDescent="0.25">
      <c r="A118" s="36" t="s">
        <v>316</v>
      </c>
      <c r="B118" s="545"/>
    </row>
    <row r="119" spans="1:2" ht="16.5" thickBot="1" x14ac:dyDescent="0.3">
      <c r="A119" s="42" t="s">
        <v>317</v>
      </c>
      <c r="B119" s="546"/>
    </row>
    <row r="122" spans="1:2" x14ac:dyDescent="0.25">
      <c r="A122" s="43"/>
      <c r="B122" s="44"/>
    </row>
    <row r="123" spans="1:2" x14ac:dyDescent="0.25">
      <c r="B123" s="45"/>
    </row>
    <row r="124" spans="1:2" x14ac:dyDescent="0.25">
      <c r="B124" s="46"/>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Q23" sqref="Q23"/>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39.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2024 год</v>
      </c>
      <c r="B4" s="413"/>
      <c r="C4" s="413"/>
      <c r="D4" s="413"/>
      <c r="E4" s="413"/>
      <c r="F4" s="413"/>
      <c r="G4" s="413"/>
      <c r="H4" s="413"/>
      <c r="I4" s="413"/>
      <c r="J4" s="413"/>
      <c r="K4" s="413"/>
      <c r="L4" s="413"/>
      <c r="M4" s="413"/>
      <c r="N4" s="413"/>
      <c r="O4" s="413"/>
      <c r="P4" s="413"/>
      <c r="Q4" s="413"/>
      <c r="R4" s="413"/>
      <c r="S4" s="413"/>
    </row>
    <row r="5" spans="1:28" s="2" customFormat="1" ht="15.75" x14ac:dyDescent="0.2">
      <c r="A5" s="72"/>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3"/>
      <c r="U6" s="73"/>
      <c r="V6" s="73"/>
      <c r="W6" s="73"/>
      <c r="X6" s="73"/>
      <c r="Y6" s="73"/>
      <c r="Z6" s="73"/>
      <c r="AA6" s="73"/>
      <c r="AB6" s="73"/>
    </row>
    <row r="7" spans="1:28" s="2" customFormat="1" ht="18.75" x14ac:dyDescent="0.2">
      <c r="A7" s="420"/>
      <c r="B7" s="420"/>
      <c r="C7" s="420"/>
      <c r="D7" s="420"/>
      <c r="E7" s="420"/>
      <c r="F7" s="420"/>
      <c r="G7" s="420"/>
      <c r="H7" s="420"/>
      <c r="I7" s="420"/>
      <c r="J7" s="420"/>
      <c r="K7" s="420"/>
      <c r="L7" s="420"/>
      <c r="M7" s="420"/>
      <c r="N7" s="420"/>
      <c r="O7" s="420"/>
      <c r="P7" s="420"/>
      <c r="Q7" s="420"/>
      <c r="R7" s="420"/>
      <c r="S7" s="420"/>
      <c r="T7" s="73"/>
      <c r="U7" s="73"/>
      <c r="V7" s="73"/>
      <c r="W7" s="73"/>
      <c r="X7" s="73"/>
      <c r="Y7" s="73"/>
      <c r="Z7" s="73"/>
      <c r="AA7" s="73"/>
      <c r="AB7" s="73"/>
    </row>
    <row r="8" spans="1:28" s="2" customFormat="1" ht="18.75" x14ac:dyDescent="0.2">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73"/>
      <c r="U8" s="73"/>
      <c r="V8" s="73"/>
      <c r="W8" s="73"/>
      <c r="X8" s="73"/>
      <c r="Y8" s="73"/>
      <c r="Z8" s="73"/>
      <c r="AA8" s="73"/>
      <c r="AB8" s="73"/>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3"/>
      <c r="U9" s="73"/>
      <c r="V9" s="73"/>
      <c r="W9" s="73"/>
      <c r="X9" s="73"/>
      <c r="Y9" s="73"/>
      <c r="Z9" s="73"/>
      <c r="AA9" s="73"/>
      <c r="AB9" s="73"/>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3"/>
      <c r="U10" s="73"/>
      <c r="V10" s="73"/>
      <c r="W10" s="73"/>
      <c r="X10" s="73"/>
      <c r="Y10" s="73"/>
      <c r="Z10" s="73"/>
      <c r="AA10" s="73"/>
      <c r="AB10" s="73"/>
    </row>
    <row r="11" spans="1:28" s="2" customFormat="1" ht="18.75" x14ac:dyDescent="0.2">
      <c r="A11" s="425" t="str">
        <f>'1. паспорт местоположение'!A12:C12</f>
        <v>O_23-1261</v>
      </c>
      <c r="B11" s="425"/>
      <c r="C11" s="425"/>
      <c r="D11" s="425"/>
      <c r="E11" s="425"/>
      <c r="F11" s="425"/>
      <c r="G11" s="425"/>
      <c r="H11" s="425"/>
      <c r="I11" s="425"/>
      <c r="J11" s="425"/>
      <c r="K11" s="425"/>
      <c r="L11" s="425"/>
      <c r="M11" s="425"/>
      <c r="N11" s="425"/>
      <c r="O11" s="425"/>
      <c r="P11" s="425"/>
      <c r="Q11" s="425"/>
      <c r="R11" s="425"/>
      <c r="S11" s="425"/>
      <c r="T11" s="73"/>
      <c r="U11" s="73"/>
      <c r="V11" s="73"/>
      <c r="W11" s="73"/>
      <c r="X11" s="73"/>
      <c r="Y11" s="73"/>
      <c r="Z11" s="73"/>
      <c r="AA11" s="73"/>
      <c r="AB11" s="73"/>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3"/>
      <c r="U12" s="73"/>
      <c r="V12" s="73"/>
      <c r="W12" s="73"/>
      <c r="X12" s="73"/>
      <c r="Y12" s="73"/>
      <c r="Z12" s="73"/>
      <c r="AA12" s="73"/>
      <c r="AB12" s="73"/>
    </row>
    <row r="13" spans="1:28" s="7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77"/>
      <c r="U13" s="77"/>
      <c r="V13" s="77"/>
      <c r="W13" s="77"/>
      <c r="X13" s="77"/>
      <c r="Y13" s="77"/>
      <c r="Z13" s="77"/>
      <c r="AA13" s="77"/>
      <c r="AB13" s="77"/>
    </row>
    <row r="14" spans="1:28" s="79" customFormat="1" ht="15.75" x14ac:dyDescent="0.2">
      <c r="A14" s="422" t="str">
        <f>'1. паспорт местоположение'!A15:C15</f>
        <v>Строительство ЛЭП 0,4 кВ от ТП 034-10, организация системы учета электроэнергии г. Гурьевск, Пражский бульвар</v>
      </c>
      <c r="B14" s="422"/>
      <c r="C14" s="422"/>
      <c r="D14" s="422"/>
      <c r="E14" s="422"/>
      <c r="F14" s="422"/>
      <c r="G14" s="422"/>
      <c r="H14" s="422"/>
      <c r="I14" s="422"/>
      <c r="J14" s="422"/>
      <c r="K14" s="422"/>
      <c r="L14" s="422"/>
      <c r="M14" s="422"/>
      <c r="N14" s="422"/>
      <c r="O14" s="422"/>
      <c r="P14" s="422"/>
      <c r="Q14" s="422"/>
      <c r="R14" s="422"/>
      <c r="S14" s="422"/>
      <c r="T14" s="75"/>
      <c r="U14" s="75"/>
      <c r="V14" s="75"/>
      <c r="W14" s="75"/>
      <c r="X14" s="75"/>
      <c r="Y14" s="75"/>
      <c r="Z14" s="75"/>
      <c r="AA14" s="75"/>
      <c r="AB14" s="75"/>
    </row>
    <row r="15" spans="1:28" s="79"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6"/>
      <c r="U15" s="76"/>
      <c r="V15" s="76"/>
      <c r="W15" s="76"/>
      <c r="X15" s="76"/>
      <c r="Y15" s="76"/>
      <c r="Z15" s="76"/>
      <c r="AA15" s="76"/>
      <c r="AB15" s="76"/>
    </row>
    <row r="16" spans="1:28" s="79" customFormat="1" ht="15" customHeight="1" x14ac:dyDescent="0.2">
      <c r="A16" s="423"/>
      <c r="B16" s="423"/>
      <c r="C16" s="423"/>
      <c r="D16" s="423"/>
      <c r="E16" s="423"/>
      <c r="F16" s="423"/>
      <c r="G16" s="423"/>
      <c r="H16" s="423"/>
      <c r="I16" s="423"/>
      <c r="J16" s="423"/>
      <c r="K16" s="423"/>
      <c r="L16" s="423"/>
      <c r="M16" s="423"/>
      <c r="N16" s="423"/>
      <c r="O16" s="423"/>
      <c r="P16" s="423"/>
      <c r="Q16" s="423"/>
      <c r="R16" s="423"/>
      <c r="S16" s="423"/>
      <c r="T16" s="80"/>
      <c r="U16" s="80"/>
      <c r="V16" s="80"/>
      <c r="W16" s="80"/>
      <c r="X16" s="80"/>
      <c r="Y16" s="80"/>
    </row>
    <row r="17" spans="1:28" s="79" customFormat="1" ht="45.75" customHeight="1" x14ac:dyDescent="0.2">
      <c r="A17" s="418" t="s">
        <v>348</v>
      </c>
      <c r="B17" s="418"/>
      <c r="C17" s="418"/>
      <c r="D17" s="418"/>
      <c r="E17" s="418"/>
      <c r="F17" s="418"/>
      <c r="G17" s="418"/>
      <c r="H17" s="418"/>
      <c r="I17" s="418"/>
      <c r="J17" s="418"/>
      <c r="K17" s="418"/>
      <c r="L17" s="418"/>
      <c r="M17" s="418"/>
      <c r="N17" s="418"/>
      <c r="O17" s="418"/>
      <c r="P17" s="418"/>
      <c r="Q17" s="418"/>
      <c r="R17" s="418"/>
      <c r="S17" s="418"/>
      <c r="T17" s="81"/>
      <c r="U17" s="81"/>
      <c r="V17" s="81"/>
      <c r="W17" s="81"/>
      <c r="X17" s="81"/>
      <c r="Y17" s="81"/>
      <c r="Z17" s="81"/>
      <c r="AA17" s="81"/>
      <c r="AB17" s="81"/>
    </row>
    <row r="18" spans="1:28" s="79"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80"/>
      <c r="U18" s="80"/>
      <c r="V18" s="80"/>
      <c r="W18" s="80"/>
      <c r="X18" s="80"/>
      <c r="Y18" s="80"/>
    </row>
    <row r="19" spans="1:28" s="79" customFormat="1" ht="54" customHeight="1" x14ac:dyDescent="0.2">
      <c r="A19" s="427" t="s">
        <v>3</v>
      </c>
      <c r="B19" s="427" t="s">
        <v>94</v>
      </c>
      <c r="C19" s="428" t="s">
        <v>271</v>
      </c>
      <c r="D19" s="427" t="s">
        <v>270</v>
      </c>
      <c r="E19" s="427" t="s">
        <v>93</v>
      </c>
      <c r="F19" s="427" t="s">
        <v>92</v>
      </c>
      <c r="G19" s="427" t="s">
        <v>266</v>
      </c>
      <c r="H19" s="427" t="s">
        <v>91</v>
      </c>
      <c r="I19" s="427" t="s">
        <v>90</v>
      </c>
      <c r="J19" s="427" t="s">
        <v>89</v>
      </c>
      <c r="K19" s="427" t="s">
        <v>88</v>
      </c>
      <c r="L19" s="427" t="s">
        <v>87</v>
      </c>
      <c r="M19" s="427" t="s">
        <v>86</v>
      </c>
      <c r="N19" s="427" t="s">
        <v>85</v>
      </c>
      <c r="O19" s="427" t="s">
        <v>84</v>
      </c>
      <c r="P19" s="427" t="s">
        <v>83</v>
      </c>
      <c r="Q19" s="427" t="s">
        <v>269</v>
      </c>
      <c r="R19" s="427"/>
      <c r="S19" s="430" t="s">
        <v>342</v>
      </c>
      <c r="T19" s="80"/>
      <c r="U19" s="80"/>
      <c r="V19" s="80"/>
      <c r="W19" s="80"/>
      <c r="X19" s="80"/>
      <c r="Y19" s="80"/>
    </row>
    <row r="20" spans="1:28" s="79" customFormat="1" ht="180.75" customHeight="1" x14ac:dyDescent="0.2">
      <c r="A20" s="427"/>
      <c r="B20" s="427"/>
      <c r="C20" s="429"/>
      <c r="D20" s="427"/>
      <c r="E20" s="427"/>
      <c r="F20" s="427"/>
      <c r="G20" s="427"/>
      <c r="H20" s="427"/>
      <c r="I20" s="427"/>
      <c r="J20" s="427"/>
      <c r="K20" s="427"/>
      <c r="L20" s="427"/>
      <c r="M20" s="427"/>
      <c r="N20" s="427"/>
      <c r="O20" s="427"/>
      <c r="P20" s="427"/>
      <c r="Q20" s="98" t="s">
        <v>267</v>
      </c>
      <c r="R20" s="99" t="s">
        <v>268</v>
      </c>
      <c r="S20" s="430"/>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78.75" x14ac:dyDescent="0.2">
      <c r="A22" s="410">
        <v>1</v>
      </c>
      <c r="B22" s="411" t="s">
        <v>621</v>
      </c>
      <c r="C22" s="411"/>
      <c r="D22" s="411" t="s">
        <v>614</v>
      </c>
      <c r="E22" s="411" t="s">
        <v>623</v>
      </c>
      <c r="F22" s="411" t="s">
        <v>622</v>
      </c>
      <c r="G22" s="412" t="s">
        <v>624</v>
      </c>
      <c r="H22" s="411">
        <v>0.29799999999999999</v>
      </c>
      <c r="I22" s="411"/>
      <c r="J22" s="411">
        <v>0.29799999999999999</v>
      </c>
      <c r="K22" s="411" t="s">
        <v>594</v>
      </c>
      <c r="L22" s="411">
        <v>2</v>
      </c>
      <c r="M22" s="411"/>
      <c r="N22" s="411"/>
      <c r="O22" s="411"/>
      <c r="P22" s="411"/>
      <c r="Q22" s="96" t="s">
        <v>625</v>
      </c>
      <c r="R22" s="410"/>
      <c r="S22" s="411">
        <v>2.47530509</v>
      </c>
      <c r="T22" s="86"/>
      <c r="U22" s="86"/>
      <c r="V22" s="86"/>
      <c r="W22" s="86"/>
      <c r="X22" s="86"/>
      <c r="Y22" s="86"/>
      <c r="Z22" s="87"/>
      <c r="AA22" s="87"/>
      <c r="AB22" s="87"/>
    </row>
    <row r="23" spans="1:28" s="79" customFormat="1" ht="18.75" x14ac:dyDescent="0.2">
      <c r="A23" s="98"/>
      <c r="B23" s="319" t="s">
        <v>479</v>
      </c>
      <c r="C23" s="100"/>
      <c r="D23" s="100"/>
      <c r="E23" s="100"/>
      <c r="F23" s="100"/>
      <c r="G23" s="100"/>
      <c r="H23" s="54">
        <f>SUM(H22:H22)</f>
        <v>0.29799999999999999</v>
      </c>
      <c r="I23" s="3"/>
      <c r="J23" s="54">
        <f>SUM(J22:J22)</f>
        <v>0.29799999999999999</v>
      </c>
      <c r="K23" s="3"/>
      <c r="L23" s="3"/>
      <c r="M23" s="3"/>
      <c r="N23" s="3"/>
      <c r="O23" s="3"/>
      <c r="P23" s="3"/>
      <c r="Q23" s="3"/>
      <c r="R23" s="101"/>
      <c r="S23" s="54">
        <f>SUM(S22:S22)</f>
        <v>2.47530509</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A24" sqref="A24"/>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3" t="str">
        <f>'2. паспорт  ТП'!A4</f>
        <v>Год раскрытия информации: 2024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2"/>
      <c r="H6" s="154"/>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5" t="str">
        <f>'2. паспорт  ТП'!A8</f>
        <v>Акционерное общество "Россети Янтарь" ДЗО  ПАО "Россети"</v>
      </c>
      <c r="B9" s="425"/>
      <c r="C9" s="425"/>
      <c r="D9" s="425"/>
      <c r="E9" s="425"/>
      <c r="F9" s="425"/>
      <c r="G9" s="425"/>
      <c r="H9" s="425"/>
      <c r="I9" s="425"/>
      <c r="J9" s="425"/>
      <c r="K9" s="425"/>
      <c r="L9" s="425"/>
      <c r="M9" s="425"/>
      <c r="N9" s="425"/>
      <c r="O9" s="425"/>
      <c r="P9" s="425"/>
      <c r="Q9" s="425"/>
      <c r="R9" s="425"/>
      <c r="S9" s="425"/>
      <c r="T9" s="425"/>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5" t="str">
        <f>'2. паспорт  ТП'!A11</f>
        <v>O_23-1261</v>
      </c>
      <c r="B12" s="425"/>
      <c r="C12" s="425"/>
      <c r="D12" s="425"/>
      <c r="E12" s="425"/>
      <c r="F12" s="425"/>
      <c r="G12" s="425"/>
      <c r="H12" s="425"/>
      <c r="I12" s="425"/>
      <c r="J12" s="425"/>
      <c r="K12" s="425"/>
      <c r="L12" s="425"/>
      <c r="M12" s="425"/>
      <c r="N12" s="425"/>
      <c r="O12" s="425"/>
      <c r="P12" s="425"/>
      <c r="Q12" s="425"/>
      <c r="R12" s="425"/>
      <c r="S12" s="425"/>
      <c r="T12" s="425"/>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78" customFormat="1" ht="15.75" customHeight="1" x14ac:dyDescent="0.2">
      <c r="A14" s="426"/>
      <c r="B14" s="426"/>
      <c r="C14" s="426"/>
      <c r="D14" s="426"/>
      <c r="E14" s="426"/>
      <c r="F14" s="426"/>
      <c r="G14" s="426"/>
      <c r="H14" s="426"/>
      <c r="I14" s="426"/>
      <c r="J14" s="426"/>
      <c r="K14" s="426"/>
      <c r="L14" s="426"/>
      <c r="M14" s="426"/>
      <c r="N14" s="426"/>
      <c r="O14" s="426"/>
      <c r="P14" s="426"/>
      <c r="Q14" s="426"/>
      <c r="R14" s="426"/>
      <c r="S14" s="426"/>
      <c r="T14" s="426"/>
    </row>
    <row r="15" spans="1:20" s="79" customFormat="1" ht="42.75" customHeight="1" x14ac:dyDescent="0.2">
      <c r="A15" s="422" t="str">
        <f>'2. паспорт  ТП'!A14</f>
        <v>Строительство ЛЭП 0,4 кВ от ТП 034-10, организация системы учета электроэнергии г. Гурьевск, Пражский бульвар</v>
      </c>
      <c r="B15" s="422"/>
      <c r="C15" s="422"/>
      <c r="D15" s="422"/>
      <c r="E15" s="422"/>
      <c r="F15" s="422"/>
      <c r="G15" s="422"/>
      <c r="H15" s="422"/>
      <c r="I15" s="422"/>
      <c r="J15" s="422"/>
      <c r="K15" s="422"/>
      <c r="L15" s="422"/>
      <c r="M15" s="422"/>
      <c r="N15" s="422"/>
      <c r="O15" s="422"/>
      <c r="P15" s="422"/>
      <c r="Q15" s="422"/>
      <c r="R15" s="422"/>
      <c r="S15" s="422"/>
      <c r="T15" s="422"/>
    </row>
    <row r="16" spans="1:20" s="79"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79" customFormat="1" ht="15" customHeight="1" x14ac:dyDescent="0.2">
      <c r="A17" s="423"/>
      <c r="B17" s="423"/>
      <c r="C17" s="423"/>
      <c r="D17" s="423"/>
      <c r="E17" s="423"/>
      <c r="F17" s="423"/>
      <c r="G17" s="423"/>
      <c r="H17" s="423"/>
      <c r="I17" s="423"/>
      <c r="J17" s="423"/>
      <c r="K17" s="423"/>
      <c r="L17" s="423"/>
      <c r="M17" s="423"/>
      <c r="N17" s="423"/>
      <c r="O17" s="423"/>
      <c r="P17" s="423"/>
      <c r="Q17" s="423"/>
      <c r="R17" s="423"/>
      <c r="S17" s="423"/>
      <c r="T17" s="423"/>
    </row>
    <row r="18" spans="1:113" s="79" customFormat="1" ht="15" customHeight="1" x14ac:dyDescent="0.2">
      <c r="A18" s="419" t="s">
        <v>353</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34"/>
      <c r="B19" s="434"/>
      <c r="C19" s="434"/>
      <c r="D19" s="434"/>
      <c r="E19" s="434"/>
      <c r="F19" s="434"/>
      <c r="G19" s="434"/>
      <c r="H19" s="434"/>
      <c r="I19" s="434"/>
      <c r="J19" s="434"/>
      <c r="K19" s="434"/>
      <c r="L19" s="434"/>
      <c r="M19" s="434"/>
      <c r="N19" s="434"/>
      <c r="O19" s="434"/>
      <c r="P19" s="434"/>
      <c r="Q19" s="434"/>
      <c r="R19" s="434"/>
      <c r="S19" s="434"/>
      <c r="T19" s="434"/>
    </row>
    <row r="20" spans="1:113" ht="46.5" customHeight="1" x14ac:dyDescent="0.25">
      <c r="A20" s="435" t="s">
        <v>3</v>
      </c>
      <c r="B20" s="438" t="s">
        <v>194</v>
      </c>
      <c r="C20" s="439"/>
      <c r="D20" s="442" t="s">
        <v>116</v>
      </c>
      <c r="E20" s="438" t="s">
        <v>380</v>
      </c>
      <c r="F20" s="439"/>
      <c r="G20" s="438" t="s">
        <v>212</v>
      </c>
      <c r="H20" s="439"/>
      <c r="I20" s="438" t="s">
        <v>115</v>
      </c>
      <c r="J20" s="439"/>
      <c r="K20" s="442" t="s">
        <v>114</v>
      </c>
      <c r="L20" s="438" t="s">
        <v>113</v>
      </c>
      <c r="M20" s="439"/>
      <c r="N20" s="438" t="s">
        <v>450</v>
      </c>
      <c r="O20" s="439"/>
      <c r="P20" s="442" t="s">
        <v>112</v>
      </c>
      <c r="Q20" s="431" t="s">
        <v>111</v>
      </c>
      <c r="R20" s="432"/>
      <c r="S20" s="431" t="s">
        <v>110</v>
      </c>
      <c r="T20" s="433"/>
    </row>
    <row r="21" spans="1:113" ht="204.75" customHeight="1" x14ac:dyDescent="0.25">
      <c r="A21" s="436"/>
      <c r="B21" s="440"/>
      <c r="C21" s="441"/>
      <c r="D21" s="445"/>
      <c r="E21" s="440"/>
      <c r="F21" s="441"/>
      <c r="G21" s="440"/>
      <c r="H21" s="441"/>
      <c r="I21" s="440"/>
      <c r="J21" s="441"/>
      <c r="K21" s="443"/>
      <c r="L21" s="440"/>
      <c r="M21" s="441"/>
      <c r="N21" s="440"/>
      <c r="O21" s="441"/>
      <c r="P21" s="443"/>
      <c r="Q21" s="26" t="s">
        <v>109</v>
      </c>
      <c r="R21" s="26" t="s">
        <v>352</v>
      </c>
      <c r="S21" s="26" t="s">
        <v>108</v>
      </c>
      <c r="T21" s="26" t="s">
        <v>107</v>
      </c>
    </row>
    <row r="22" spans="1:113" ht="51.75" customHeight="1" x14ac:dyDescent="0.25">
      <c r="A22" s="437"/>
      <c r="B22" s="47" t="s">
        <v>105</v>
      </c>
      <c r="C22" s="47" t="s">
        <v>106</v>
      </c>
      <c r="D22" s="443"/>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21" customFormat="1" x14ac:dyDescent="0.25">
      <c r="A24" s="334"/>
      <c r="B24" s="334"/>
      <c r="C24" s="335"/>
      <c r="D24" s="335"/>
      <c r="E24" s="335"/>
      <c r="F24" s="335"/>
      <c r="G24" s="334"/>
      <c r="H24" s="335"/>
      <c r="I24" s="334"/>
      <c r="J24" s="334"/>
      <c r="K24" s="334"/>
      <c r="L24" s="334"/>
      <c r="M24" s="334"/>
      <c r="N24" s="334"/>
      <c r="O24" s="335"/>
      <c r="P24" s="334"/>
      <c r="Q24" s="334"/>
      <c r="R24" s="334"/>
      <c r="S24" s="334"/>
      <c r="T24" s="334"/>
    </row>
    <row r="25" spans="1:113" s="12" customFormat="1" x14ac:dyDescent="0.25">
      <c r="B25" s="10" t="s">
        <v>104</v>
      </c>
      <c r="C25" s="10"/>
      <c r="D25" s="10"/>
      <c r="E25" s="10"/>
      <c r="F25" s="10"/>
      <c r="G25" s="10"/>
      <c r="H25" s="156"/>
      <c r="I25" s="10"/>
      <c r="J25" s="10"/>
      <c r="K25" s="10"/>
      <c r="L25" s="10"/>
      <c r="M25" s="10"/>
      <c r="N25" s="10">
        <f>SUM(N24:N24)</f>
        <v>0</v>
      </c>
      <c r="O25" s="10">
        <f>SUM(O24:O24)</f>
        <v>0</v>
      </c>
      <c r="P25" s="10">
        <f>O25-N25</f>
        <v>0</v>
      </c>
      <c r="Q25" s="10"/>
      <c r="R25" s="10"/>
    </row>
    <row r="26" spans="1:113" x14ac:dyDescent="0.25">
      <c r="B26" s="444" t="s">
        <v>386</v>
      </c>
      <c r="C26" s="444"/>
      <c r="D26" s="444"/>
      <c r="E26" s="444"/>
      <c r="F26" s="444"/>
      <c r="G26" s="444"/>
      <c r="H26" s="444"/>
      <c r="I26" s="444"/>
      <c r="J26" s="444"/>
      <c r="K26" s="444"/>
      <c r="L26" s="444"/>
      <c r="M26" s="444"/>
      <c r="N26" s="444"/>
      <c r="O26" s="444"/>
      <c r="P26" s="444"/>
      <c r="Q26" s="444"/>
      <c r="R26" s="444"/>
    </row>
    <row r="27" spans="1:113" x14ac:dyDescent="0.25">
      <c r="B27" s="10"/>
      <c r="C27" s="10"/>
      <c r="D27" s="10"/>
      <c r="E27" s="10"/>
      <c r="F27" s="10"/>
      <c r="G27" s="10"/>
      <c r="H27" s="156"/>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7"/>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7"/>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7"/>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7"/>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8"/>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B26:R26"/>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0" zoomScale="70" zoomScaleSheetLayoutView="70" workbookViewId="0">
      <selection activeCell="A27" sqref="A27"/>
    </sheetView>
  </sheetViews>
  <sheetFormatPr defaultColWidth="10.7109375" defaultRowHeight="15.75" x14ac:dyDescent="0.25"/>
  <cols>
    <col min="1" max="1" width="10.7109375" style="6"/>
    <col min="2" max="2" width="20.42578125" style="6" customWidth="1"/>
    <col min="3" max="3" width="37" style="6" customWidth="1"/>
    <col min="4" max="4" width="22.5703125" style="6" customWidth="1"/>
    <col min="5" max="5" width="36.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3" t="str">
        <f>'3.1. паспорт Техсостояние ПС'!A5</f>
        <v>Год раскрытия информации: 2024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5" t="str">
        <f>'3.1. паспорт Техсостояние ПС'!A9</f>
        <v>Акционерное общество "Россети Янтарь" ДЗО  ПАО "Россети"</v>
      </c>
      <c r="F9" s="425"/>
      <c r="G9" s="425"/>
      <c r="H9" s="425"/>
      <c r="I9" s="425"/>
      <c r="J9" s="425"/>
      <c r="K9" s="425"/>
      <c r="L9" s="425"/>
      <c r="M9" s="425"/>
      <c r="N9" s="425"/>
      <c r="O9" s="425"/>
      <c r="P9" s="425"/>
      <c r="Q9" s="425"/>
      <c r="R9" s="425"/>
      <c r="S9" s="425"/>
      <c r="T9" s="425"/>
      <c r="U9" s="425"/>
      <c r="V9" s="425"/>
      <c r="W9" s="425"/>
      <c r="X9" s="425"/>
      <c r="Y9" s="425"/>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5" t="str">
        <f>'1. паспорт местоположение'!A12</f>
        <v>O_23-1261</v>
      </c>
      <c r="F12" s="425"/>
      <c r="G12" s="425"/>
      <c r="H12" s="425"/>
      <c r="I12" s="425"/>
      <c r="J12" s="425"/>
      <c r="K12" s="425"/>
      <c r="L12" s="425"/>
      <c r="M12" s="425"/>
      <c r="N12" s="425"/>
      <c r="O12" s="425"/>
      <c r="P12" s="425"/>
      <c r="Q12" s="425"/>
      <c r="R12" s="425"/>
      <c r="S12" s="425"/>
      <c r="T12" s="425"/>
      <c r="U12" s="425"/>
      <c r="V12" s="425"/>
      <c r="W12" s="425"/>
      <c r="X12" s="425"/>
      <c r="Y12" s="425"/>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2" t="str">
        <f>'3.1. паспорт Техсостояние ПС'!A15</f>
        <v>Строительство ЛЭП 0,4 кВ от ТП 034-10, организация системы учета электроэнергии г. Гурьевск, Пражский бульвар</v>
      </c>
      <c r="F15" s="422"/>
      <c r="G15" s="422"/>
      <c r="H15" s="422"/>
      <c r="I15" s="422"/>
      <c r="J15" s="422"/>
      <c r="K15" s="422"/>
      <c r="L15" s="422"/>
      <c r="M15" s="422"/>
      <c r="N15" s="422"/>
      <c r="O15" s="422"/>
      <c r="P15" s="422"/>
      <c r="Q15" s="422"/>
      <c r="R15" s="422"/>
      <c r="S15" s="422"/>
      <c r="T15" s="422"/>
      <c r="U15" s="422"/>
      <c r="V15" s="422"/>
      <c r="W15" s="422"/>
      <c r="X15" s="422"/>
      <c r="Y15" s="422"/>
    </row>
    <row r="16" spans="1:27" s="79"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355</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362</v>
      </c>
      <c r="C21" s="446"/>
      <c r="D21" s="446" t="s">
        <v>364</v>
      </c>
      <c r="E21" s="446"/>
      <c r="F21" s="446" t="s">
        <v>88</v>
      </c>
      <c r="G21" s="446"/>
      <c r="H21" s="446"/>
      <c r="I21" s="446"/>
      <c r="J21" s="446" t="s">
        <v>365</v>
      </c>
      <c r="K21" s="446" t="s">
        <v>366</v>
      </c>
      <c r="L21" s="446"/>
      <c r="M21" s="446" t="s">
        <v>367</v>
      </c>
      <c r="N21" s="446"/>
      <c r="O21" s="446" t="s">
        <v>354</v>
      </c>
      <c r="P21" s="446"/>
      <c r="Q21" s="446" t="s">
        <v>121</v>
      </c>
      <c r="R21" s="446"/>
      <c r="S21" s="446" t="s">
        <v>120</v>
      </c>
      <c r="T21" s="446" t="s">
        <v>368</v>
      </c>
      <c r="U21" s="446" t="s">
        <v>363</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219" t="s">
        <v>109</v>
      </c>
      <c r="Y22" s="219" t="s">
        <v>352</v>
      </c>
      <c r="Z22" s="219" t="s">
        <v>108</v>
      </c>
      <c r="AA22" s="219" t="s">
        <v>107</v>
      </c>
    </row>
    <row r="23" spans="1:27" ht="60" customHeight="1" x14ac:dyDescent="0.25">
      <c r="A23" s="446"/>
      <c r="B23" s="219" t="s">
        <v>105</v>
      </c>
      <c r="C23" s="219" t="s">
        <v>106</v>
      </c>
      <c r="D23" s="219" t="s">
        <v>105</v>
      </c>
      <c r="E23" s="219" t="s">
        <v>106</v>
      </c>
      <c r="F23" s="219" t="s">
        <v>105</v>
      </c>
      <c r="G23" s="219" t="s">
        <v>106</v>
      </c>
      <c r="H23" s="219" t="s">
        <v>105</v>
      </c>
      <c r="I23" s="219" t="s">
        <v>106</v>
      </c>
      <c r="J23" s="219" t="s">
        <v>105</v>
      </c>
      <c r="K23" s="219" t="s">
        <v>105</v>
      </c>
      <c r="L23" s="219" t="s">
        <v>106</v>
      </c>
      <c r="M23" s="219" t="s">
        <v>105</v>
      </c>
      <c r="N23" s="219" t="s">
        <v>106</v>
      </c>
      <c r="O23" s="219" t="s">
        <v>105</v>
      </c>
      <c r="P23" s="219" t="s">
        <v>106</v>
      </c>
      <c r="Q23" s="219" t="s">
        <v>105</v>
      </c>
      <c r="R23" s="219" t="s">
        <v>106</v>
      </c>
      <c r="S23" s="219" t="s">
        <v>105</v>
      </c>
      <c r="T23" s="219" t="s">
        <v>105</v>
      </c>
      <c r="U23" s="219" t="s">
        <v>105</v>
      </c>
      <c r="V23" s="219" t="s">
        <v>105</v>
      </c>
      <c r="W23" s="219" t="s">
        <v>106</v>
      </c>
      <c r="X23" s="219" t="s">
        <v>105</v>
      </c>
      <c r="Y23" s="219" t="s">
        <v>105</v>
      </c>
      <c r="Z23" s="219" t="s">
        <v>105</v>
      </c>
      <c r="AA23" s="219" t="s">
        <v>105</v>
      </c>
    </row>
    <row r="24" spans="1:27" x14ac:dyDescent="0.25">
      <c r="A24" s="220">
        <v>1</v>
      </c>
      <c r="B24" s="220">
        <v>2</v>
      </c>
      <c r="C24" s="220">
        <v>3</v>
      </c>
      <c r="D24" s="220">
        <v>4</v>
      </c>
      <c r="E24" s="220">
        <v>5</v>
      </c>
      <c r="F24" s="220">
        <v>6</v>
      </c>
      <c r="G24" s="220">
        <v>7</v>
      </c>
      <c r="H24" s="220">
        <v>8</v>
      </c>
      <c r="I24" s="220">
        <v>9</v>
      </c>
      <c r="J24" s="220">
        <v>10</v>
      </c>
      <c r="K24" s="220">
        <v>11</v>
      </c>
      <c r="L24" s="220">
        <v>12</v>
      </c>
      <c r="M24" s="220">
        <v>13</v>
      </c>
      <c r="N24" s="220">
        <v>14</v>
      </c>
      <c r="O24" s="220">
        <v>15</v>
      </c>
      <c r="P24" s="220">
        <v>16</v>
      </c>
      <c r="Q24" s="220">
        <v>19</v>
      </c>
      <c r="R24" s="220">
        <v>20</v>
      </c>
      <c r="S24" s="220">
        <v>21</v>
      </c>
      <c r="T24" s="220">
        <v>22</v>
      </c>
      <c r="U24" s="220">
        <v>23</v>
      </c>
      <c r="V24" s="220">
        <v>24</v>
      </c>
      <c r="W24" s="220">
        <v>25</v>
      </c>
      <c r="X24" s="220">
        <v>26</v>
      </c>
      <c r="Y24" s="220">
        <v>27</v>
      </c>
      <c r="Z24" s="220">
        <v>28</v>
      </c>
      <c r="AA24" s="220">
        <v>29</v>
      </c>
    </row>
    <row r="25" spans="1:27" s="159" customFormat="1" x14ac:dyDescent="0.25">
      <c r="A25" s="317">
        <v>1</v>
      </c>
      <c r="B25" s="318" t="s">
        <v>265</v>
      </c>
      <c r="C25" s="318" t="s">
        <v>619</v>
      </c>
      <c r="D25" s="317" t="s">
        <v>265</v>
      </c>
      <c r="E25" s="318" t="str">
        <f t="shared" ref="E25" si="0">C25</f>
        <v>КЛ 0,4 кВ от ТП-34-10 1с.</v>
      </c>
      <c r="F25" s="317" t="s">
        <v>265</v>
      </c>
      <c r="G25" s="317">
        <v>0.4</v>
      </c>
      <c r="H25" s="317" t="s">
        <v>265</v>
      </c>
      <c r="I25" s="317">
        <v>0.4</v>
      </c>
      <c r="J25" s="317" t="s">
        <v>265</v>
      </c>
      <c r="K25" s="317" t="s">
        <v>265</v>
      </c>
      <c r="L25" s="317">
        <v>2</v>
      </c>
      <c r="M25" s="317" t="s">
        <v>265</v>
      </c>
      <c r="N25" s="317">
        <v>185</v>
      </c>
      <c r="O25" s="317" t="s">
        <v>265</v>
      </c>
      <c r="P25" s="317" t="s">
        <v>540</v>
      </c>
      <c r="Q25" s="317" t="s">
        <v>265</v>
      </c>
      <c r="R25" s="317">
        <v>0.17100000000000001</v>
      </c>
      <c r="S25" s="317" t="s">
        <v>265</v>
      </c>
      <c r="T25" s="317" t="s">
        <v>265</v>
      </c>
      <c r="U25" s="317" t="s">
        <v>265</v>
      </c>
      <c r="V25" s="317" t="s">
        <v>265</v>
      </c>
      <c r="W25" s="317" t="s">
        <v>599</v>
      </c>
      <c r="X25" s="317" t="s">
        <v>265</v>
      </c>
      <c r="Y25" s="317" t="s">
        <v>265</v>
      </c>
      <c r="Z25" s="317" t="s">
        <v>265</v>
      </c>
      <c r="AA25" s="317" t="s">
        <v>265</v>
      </c>
    </row>
    <row r="26" spans="1:27" s="159" customFormat="1" x14ac:dyDescent="0.25">
      <c r="A26" s="317">
        <v>2</v>
      </c>
      <c r="B26" s="318" t="s">
        <v>265</v>
      </c>
      <c r="C26" s="318" t="s">
        <v>620</v>
      </c>
      <c r="D26" s="317" t="s">
        <v>265</v>
      </c>
      <c r="E26" s="318" t="str">
        <f t="shared" ref="E26" si="1">C26</f>
        <v>КЛ 0,4 кВ от ТП-34-10 2с.</v>
      </c>
      <c r="F26" s="317" t="s">
        <v>265</v>
      </c>
      <c r="G26" s="317">
        <v>0.4</v>
      </c>
      <c r="H26" s="317" t="s">
        <v>265</v>
      </c>
      <c r="I26" s="317">
        <v>0.4</v>
      </c>
      <c r="J26" s="317" t="s">
        <v>265</v>
      </c>
      <c r="K26" s="317" t="s">
        <v>265</v>
      </c>
      <c r="L26" s="317">
        <v>2</v>
      </c>
      <c r="M26" s="317" t="s">
        <v>265</v>
      </c>
      <c r="N26" s="317">
        <v>185</v>
      </c>
      <c r="O26" s="317" t="s">
        <v>265</v>
      </c>
      <c r="P26" s="317" t="s">
        <v>540</v>
      </c>
      <c r="Q26" s="317" t="s">
        <v>265</v>
      </c>
      <c r="R26" s="317">
        <v>0.183</v>
      </c>
      <c r="S26" s="317" t="s">
        <v>265</v>
      </c>
      <c r="T26" s="317" t="s">
        <v>265</v>
      </c>
      <c r="U26" s="317" t="s">
        <v>265</v>
      </c>
      <c r="V26" s="317" t="s">
        <v>265</v>
      </c>
      <c r="W26" s="317" t="s">
        <v>599</v>
      </c>
      <c r="X26" s="317" t="s">
        <v>265</v>
      </c>
      <c r="Y26" s="317" t="s">
        <v>265</v>
      </c>
      <c r="Z26" s="317" t="s">
        <v>265</v>
      </c>
      <c r="AA26" s="317" t="s">
        <v>265</v>
      </c>
    </row>
    <row r="27" spans="1:27" x14ac:dyDescent="0.25">
      <c r="Q27" s="6">
        <f>SUM(Q25:Q26)</f>
        <v>0</v>
      </c>
      <c r="R27" s="6">
        <f>SUM(R25:R26)</f>
        <v>0.35399999999999998</v>
      </c>
      <c r="S27" s="6">
        <f>R27-Q27</f>
        <v>0.35399999999999998</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5" zoomScale="80" zoomScaleSheetLayoutView="80" workbookViewId="0">
      <selection activeCell="C24" sqref="C24"/>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3" t="str">
        <f>'3.2 паспорт Техсостояние ЛЭП'!A5</f>
        <v>Год раскрытия информации: 2024 год</v>
      </c>
      <c r="B5" s="413"/>
      <c r="C5" s="413"/>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20" t="s">
        <v>7</v>
      </c>
      <c r="B7" s="420"/>
      <c r="C7" s="420"/>
      <c r="D7" s="73"/>
      <c r="E7" s="73"/>
      <c r="F7" s="73"/>
      <c r="G7" s="73"/>
      <c r="H7" s="73"/>
      <c r="I7" s="73"/>
      <c r="J7" s="73"/>
      <c r="K7" s="73"/>
      <c r="L7" s="73"/>
      <c r="M7" s="73"/>
      <c r="N7" s="73"/>
      <c r="O7" s="73"/>
      <c r="P7" s="73"/>
      <c r="Q7" s="73"/>
      <c r="R7" s="73"/>
      <c r="S7" s="73"/>
      <c r="T7" s="73"/>
      <c r="U7" s="73"/>
    </row>
    <row r="8" spans="1:29" s="2" customFormat="1" ht="18.75" x14ac:dyDescent="0.2">
      <c r="A8" s="420"/>
      <c r="B8" s="420"/>
      <c r="C8" s="420"/>
      <c r="D8" s="74"/>
      <c r="E8" s="74"/>
      <c r="F8" s="74"/>
      <c r="G8" s="74"/>
      <c r="H8" s="73"/>
      <c r="I8" s="73"/>
      <c r="J8" s="73"/>
      <c r="K8" s="73"/>
      <c r="L8" s="73"/>
      <c r="M8" s="73"/>
      <c r="N8" s="73"/>
      <c r="O8" s="73"/>
      <c r="P8" s="73"/>
      <c r="Q8" s="73"/>
      <c r="R8" s="73"/>
      <c r="S8" s="73"/>
      <c r="T8" s="73"/>
      <c r="U8" s="73"/>
    </row>
    <row r="9" spans="1:29" s="2" customFormat="1" ht="18.75" x14ac:dyDescent="0.2">
      <c r="A9" s="425" t="str">
        <f>'3.2 паспорт Техсостояние ЛЭП'!E9</f>
        <v>Акционерное общество "Россети Янтарь" ДЗО  ПАО "Россети"</v>
      </c>
      <c r="B9" s="425"/>
      <c r="C9" s="425"/>
      <c r="D9" s="75"/>
      <c r="E9" s="75"/>
      <c r="F9" s="75"/>
      <c r="G9" s="75"/>
      <c r="H9" s="73"/>
      <c r="I9" s="73"/>
      <c r="J9" s="73"/>
      <c r="K9" s="73"/>
      <c r="L9" s="73"/>
      <c r="M9" s="73"/>
      <c r="N9" s="73"/>
      <c r="O9" s="73"/>
      <c r="P9" s="73"/>
      <c r="Q9" s="73"/>
      <c r="R9" s="73"/>
      <c r="S9" s="73"/>
      <c r="T9" s="73"/>
      <c r="U9" s="73"/>
    </row>
    <row r="10" spans="1:29" s="2" customFormat="1" ht="18.75" x14ac:dyDescent="0.2">
      <c r="A10" s="417" t="s">
        <v>6</v>
      </c>
      <c r="B10" s="417"/>
      <c r="C10" s="417"/>
      <c r="D10" s="76"/>
      <c r="E10" s="76"/>
      <c r="F10" s="76"/>
      <c r="G10" s="76"/>
      <c r="H10" s="73"/>
      <c r="I10" s="73"/>
      <c r="J10" s="73"/>
      <c r="K10" s="73"/>
      <c r="L10" s="73"/>
      <c r="M10" s="73"/>
      <c r="N10" s="73"/>
      <c r="O10" s="73"/>
      <c r="P10" s="73"/>
      <c r="Q10" s="73"/>
      <c r="R10" s="73"/>
      <c r="S10" s="73"/>
      <c r="T10" s="73"/>
      <c r="U10" s="73"/>
    </row>
    <row r="11" spans="1:29" s="2" customFormat="1" ht="18.75" x14ac:dyDescent="0.2">
      <c r="A11" s="420"/>
      <c r="B11" s="420"/>
      <c r="C11" s="420"/>
      <c r="D11" s="74"/>
      <c r="E11" s="74"/>
      <c r="F11" s="74"/>
      <c r="G11" s="74"/>
      <c r="H11" s="73"/>
      <c r="I11" s="73"/>
      <c r="J11" s="73"/>
      <c r="K11" s="73"/>
      <c r="L11" s="73"/>
      <c r="M11" s="73"/>
      <c r="N11" s="73"/>
      <c r="O11" s="73"/>
      <c r="P11" s="73"/>
      <c r="Q11" s="73"/>
      <c r="R11" s="73"/>
      <c r="S11" s="73"/>
      <c r="T11" s="73"/>
      <c r="U11" s="73"/>
    </row>
    <row r="12" spans="1:29" s="2" customFormat="1" ht="18.75" x14ac:dyDescent="0.2">
      <c r="A12" s="425" t="str">
        <f>'3.2 паспорт Техсостояние ЛЭП'!E12</f>
        <v>O_23-1261</v>
      </c>
      <c r="B12" s="425"/>
      <c r="C12" s="425"/>
      <c r="D12" s="75"/>
      <c r="E12" s="75"/>
      <c r="F12" s="75"/>
      <c r="G12" s="75"/>
      <c r="H12" s="73"/>
      <c r="I12" s="73"/>
      <c r="J12" s="73"/>
      <c r="K12" s="73"/>
      <c r="L12" s="73"/>
      <c r="M12" s="73"/>
      <c r="N12" s="73"/>
      <c r="O12" s="73"/>
      <c r="P12" s="73"/>
      <c r="Q12" s="73"/>
      <c r="R12" s="73"/>
      <c r="S12" s="73"/>
      <c r="T12" s="73"/>
      <c r="U12" s="73"/>
    </row>
    <row r="13" spans="1:29" s="2" customFormat="1" ht="18.75" x14ac:dyDescent="0.2">
      <c r="A13" s="417" t="s">
        <v>5</v>
      </c>
      <c r="B13" s="417"/>
      <c r="C13" s="417"/>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6"/>
      <c r="B14" s="426"/>
      <c r="C14" s="426"/>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2" t="str">
        <f>'3.2 паспорт Техсостояние ЛЭП'!E15</f>
        <v>Строительство ЛЭП 0,4 кВ от ТП 034-10, организация системы учета электроэнергии г. Гурьевск, Пражский бульвар</v>
      </c>
      <c r="B15" s="422"/>
      <c r="C15" s="422"/>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7" t="s">
        <v>4</v>
      </c>
      <c r="B16" s="417"/>
      <c r="C16" s="417"/>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3"/>
      <c r="B17" s="423"/>
      <c r="C17" s="423"/>
      <c r="D17" s="80"/>
      <c r="E17" s="80"/>
      <c r="F17" s="80"/>
      <c r="G17" s="80"/>
      <c r="H17" s="80"/>
      <c r="I17" s="80"/>
      <c r="J17" s="80"/>
      <c r="K17" s="80"/>
      <c r="L17" s="80"/>
      <c r="M17" s="80"/>
      <c r="N17" s="80"/>
      <c r="O17" s="80"/>
      <c r="P17" s="80"/>
      <c r="Q17" s="80"/>
      <c r="R17" s="80"/>
    </row>
    <row r="18" spans="1:21" s="79" customFormat="1" ht="27.75" customHeight="1" x14ac:dyDescent="0.2">
      <c r="A18" s="418" t="s">
        <v>347</v>
      </c>
      <c r="B18" s="418"/>
      <c r="C18" s="418"/>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4.75" customHeight="1" x14ac:dyDescent="0.2">
      <c r="A22" s="88" t="s">
        <v>62</v>
      </c>
      <c r="B22" s="3" t="s">
        <v>360</v>
      </c>
      <c r="C22" s="399" t="s">
        <v>603</v>
      </c>
      <c r="D22" s="85"/>
      <c r="E22" s="85"/>
      <c r="F22" s="86"/>
      <c r="G22" s="86"/>
      <c r="H22" s="86"/>
      <c r="I22" s="86"/>
      <c r="J22" s="86"/>
      <c r="K22" s="86"/>
      <c r="L22" s="86"/>
      <c r="M22" s="86"/>
      <c r="N22" s="86"/>
      <c r="O22" s="86"/>
      <c r="P22" s="86"/>
      <c r="Q22" s="87"/>
      <c r="R22" s="87"/>
      <c r="S22" s="87"/>
      <c r="T22" s="87"/>
      <c r="U22" s="87"/>
    </row>
    <row r="23" spans="1:21" ht="54.7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0,298 мВт</v>
      </c>
      <c r="D23" s="97"/>
      <c r="E23" s="97"/>
      <c r="F23" s="97"/>
      <c r="G23" s="97"/>
      <c r="H23" s="97"/>
      <c r="I23" s="97"/>
      <c r="J23" s="97"/>
      <c r="K23" s="97"/>
      <c r="L23" s="97"/>
      <c r="M23" s="97"/>
      <c r="N23" s="97"/>
      <c r="O23" s="97"/>
      <c r="P23" s="97"/>
      <c r="Q23" s="97"/>
      <c r="R23" s="97"/>
      <c r="S23" s="97"/>
      <c r="T23" s="97"/>
      <c r="U23" s="97"/>
    </row>
    <row r="24" spans="1:21" ht="63" x14ac:dyDescent="0.25">
      <c r="A24" s="88" t="s">
        <v>60</v>
      </c>
      <c r="B24" s="102" t="s">
        <v>541</v>
      </c>
      <c r="C24" s="96" t="s">
        <v>637</v>
      </c>
      <c r="D24" s="97"/>
      <c r="E24" s="97"/>
      <c r="F24" s="97"/>
      <c r="G24" s="97"/>
      <c r="H24" s="97"/>
      <c r="I24" s="97"/>
      <c r="J24" s="97"/>
      <c r="K24" s="97"/>
      <c r="L24" s="97"/>
      <c r="M24" s="97"/>
      <c r="N24" s="97"/>
      <c r="O24" s="97"/>
      <c r="P24" s="97"/>
      <c r="Q24" s="97"/>
      <c r="R24" s="97"/>
      <c r="S24" s="97"/>
      <c r="T24" s="97"/>
      <c r="U24" s="97"/>
    </row>
    <row r="25" spans="1:21" ht="54.75" customHeight="1" x14ac:dyDescent="0.25">
      <c r="A25" s="88" t="s">
        <v>59</v>
      </c>
      <c r="B25" s="102" t="s">
        <v>379</v>
      </c>
      <c r="C25" s="96" t="s">
        <v>626</v>
      </c>
      <c r="D25" s="97"/>
      <c r="E25" s="97"/>
      <c r="F25" s="97"/>
      <c r="G25" s="97"/>
      <c r="H25" s="97"/>
      <c r="I25" s="97"/>
      <c r="J25" s="97"/>
      <c r="K25" s="97"/>
      <c r="L25" s="97"/>
      <c r="M25" s="97"/>
      <c r="N25" s="97"/>
      <c r="O25" s="97"/>
      <c r="P25" s="97"/>
      <c r="Q25" s="97"/>
      <c r="R25" s="97"/>
      <c r="S25" s="97"/>
      <c r="T25" s="97"/>
      <c r="U25" s="97"/>
    </row>
    <row r="26" spans="1:21" ht="54.75" customHeight="1" x14ac:dyDescent="0.25">
      <c r="A26" s="88" t="s">
        <v>57</v>
      </c>
      <c r="B26" s="102" t="s">
        <v>202</v>
      </c>
      <c r="C26" s="96" t="s">
        <v>400</v>
      </c>
      <c r="D26" s="97"/>
      <c r="E26" s="97"/>
      <c r="F26" s="97"/>
      <c r="G26" s="97"/>
      <c r="H26" s="97"/>
      <c r="I26" s="97"/>
      <c r="J26" s="97"/>
      <c r="K26" s="97"/>
      <c r="L26" s="97"/>
      <c r="M26" s="97"/>
      <c r="N26" s="97"/>
      <c r="O26" s="97"/>
      <c r="P26" s="97"/>
      <c r="Q26" s="97"/>
      <c r="R26" s="97"/>
      <c r="S26" s="97"/>
      <c r="T26" s="97"/>
      <c r="U26" s="97"/>
    </row>
    <row r="27" spans="1:21" ht="54.75" customHeight="1" x14ac:dyDescent="0.25">
      <c r="A27" s="88" t="s">
        <v>56</v>
      </c>
      <c r="B27" s="102" t="s">
        <v>361</v>
      </c>
      <c r="C27" s="96"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3409/05/23 от 26.06.2023</v>
      </c>
      <c r="D27" s="97"/>
      <c r="E27" s="97"/>
      <c r="F27" s="97"/>
      <c r="G27" s="97"/>
      <c r="H27" s="97"/>
      <c r="I27" s="97"/>
      <c r="J27" s="97"/>
      <c r="K27" s="97"/>
      <c r="L27" s="97"/>
      <c r="M27" s="97"/>
      <c r="N27" s="97"/>
      <c r="O27" s="97"/>
      <c r="P27" s="97"/>
      <c r="Q27" s="97"/>
      <c r="R27" s="97"/>
      <c r="S27" s="97"/>
      <c r="T27" s="97"/>
      <c r="U27" s="97"/>
    </row>
    <row r="28" spans="1:21" ht="54.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54.75" customHeight="1" x14ac:dyDescent="0.25">
      <c r="A29" s="88" t="s">
        <v>52</v>
      </c>
      <c r="B29" s="82" t="s">
        <v>53</v>
      </c>
      <c r="C29" s="96" t="s">
        <v>478</v>
      </c>
      <c r="D29" s="97"/>
      <c r="E29" s="97"/>
      <c r="F29" s="97"/>
      <c r="G29" s="97"/>
      <c r="H29" s="97"/>
      <c r="I29" s="97"/>
      <c r="J29" s="97"/>
      <c r="K29" s="97"/>
      <c r="L29" s="97"/>
      <c r="M29" s="97"/>
      <c r="N29" s="97"/>
      <c r="O29" s="97"/>
      <c r="P29" s="97"/>
      <c r="Q29" s="97"/>
      <c r="R29" s="97"/>
      <c r="S29" s="97"/>
      <c r="T29" s="97"/>
      <c r="U29" s="97"/>
    </row>
    <row r="30" spans="1:21" ht="54.75" customHeight="1" x14ac:dyDescent="0.25">
      <c r="A30" s="88" t="s">
        <v>70</v>
      </c>
      <c r="B30" s="82" t="s">
        <v>51</v>
      </c>
      <c r="C30" s="96" t="s">
        <v>615</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M42" sqref="M42"/>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3"/>
      <c r="AB6" s="73"/>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3"/>
      <c r="AB7" s="73"/>
    </row>
    <row r="8" spans="1:28" ht="15.75" x14ac:dyDescent="0.25">
      <c r="A8" s="425" t="str">
        <f>'3.3 паспорт описание'!A9:C9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75"/>
      <c r="AB8" s="75"/>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6"/>
      <c r="AB9" s="76"/>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3"/>
      <c r="AB10" s="73"/>
    </row>
    <row r="11" spans="1:28" ht="15.75" x14ac:dyDescent="0.25">
      <c r="A11" s="425" t="str">
        <f>'3.3 паспорт описание'!A12:C12</f>
        <v>O_23-1261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75"/>
      <c r="AB11" s="75"/>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6"/>
      <c r="AB12" s="76"/>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4"/>
      <c r="AB13" s="104"/>
    </row>
    <row r="14" spans="1:28" ht="24.75" customHeight="1" x14ac:dyDescent="0.25">
      <c r="A14" s="422" t="str">
        <f>'3.3 паспорт описание'!A15:C15</f>
        <v>Строительство ЛЭП 0,4 кВ от ТП 034-10, организация системы учета электроэнергии г. Гурьевск, Пражский бульвар</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75"/>
      <c r="AB14" s="75"/>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6"/>
      <c r="AB15" s="76"/>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05"/>
      <c r="AB16" s="105"/>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05"/>
      <c r="AB17" s="105"/>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05"/>
      <c r="AB18" s="105"/>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05"/>
      <c r="AB19" s="105"/>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06"/>
      <c r="AB20" s="106"/>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06"/>
      <c r="AB21" s="106"/>
    </row>
    <row r="22" spans="1:28" x14ac:dyDescent="0.25">
      <c r="A22" s="449" t="s">
        <v>378</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07"/>
      <c r="AB22" s="107"/>
    </row>
    <row r="23" spans="1:28" ht="32.25" customHeight="1" x14ac:dyDescent="0.25">
      <c r="A23" s="451" t="s">
        <v>263</v>
      </c>
      <c r="B23" s="452"/>
      <c r="C23" s="452"/>
      <c r="D23" s="452"/>
      <c r="E23" s="452"/>
      <c r="F23" s="452"/>
      <c r="G23" s="452"/>
      <c r="H23" s="452"/>
      <c r="I23" s="452"/>
      <c r="J23" s="452"/>
      <c r="K23" s="452"/>
      <c r="L23" s="453"/>
      <c r="M23" s="450" t="s">
        <v>264</v>
      </c>
      <c r="N23" s="450"/>
      <c r="O23" s="450"/>
      <c r="P23" s="450"/>
      <c r="Q23" s="450"/>
      <c r="R23" s="450"/>
      <c r="S23" s="450"/>
      <c r="T23" s="450"/>
      <c r="U23" s="450"/>
      <c r="V23" s="450"/>
      <c r="W23" s="450"/>
      <c r="X23" s="450"/>
      <c r="Y23" s="450"/>
      <c r="Z23" s="450"/>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480</v>
      </c>
      <c r="D26" s="179" t="s">
        <v>481</v>
      </c>
      <c r="E26" s="179" t="s">
        <v>482</v>
      </c>
      <c r="F26" s="179" t="s">
        <v>483</v>
      </c>
      <c r="G26" s="179" t="s">
        <v>484</v>
      </c>
      <c r="H26" s="179" t="s">
        <v>206</v>
      </c>
      <c r="I26" s="179" t="s">
        <v>485</v>
      </c>
      <c r="J26" s="179" t="s">
        <v>486</v>
      </c>
      <c r="K26" s="180"/>
      <c r="L26" s="181" t="s">
        <v>487</v>
      </c>
      <c r="M26" s="182" t="s">
        <v>488</v>
      </c>
      <c r="N26" s="180"/>
      <c r="O26" s="180"/>
      <c r="P26" s="180"/>
      <c r="Q26" s="180"/>
      <c r="R26" s="180"/>
      <c r="S26" s="180"/>
      <c r="T26" s="180"/>
      <c r="U26" s="180"/>
      <c r="V26" s="180"/>
      <c r="W26" s="180"/>
      <c r="X26" s="180"/>
      <c r="Y26" s="180"/>
      <c r="Z26" s="183" t="s">
        <v>215</v>
      </c>
    </row>
    <row r="27" spans="1:28" customFormat="1" x14ac:dyDescent="0.25">
      <c r="A27" s="180" t="s">
        <v>489</v>
      </c>
      <c r="B27" s="180" t="s">
        <v>490</v>
      </c>
      <c r="C27" s="180" t="s">
        <v>491</v>
      </c>
      <c r="D27" s="180" t="s">
        <v>492</v>
      </c>
      <c r="E27" s="180" t="s">
        <v>493</v>
      </c>
      <c r="F27" s="179" t="s">
        <v>494</v>
      </c>
      <c r="G27" s="179" t="s">
        <v>495</v>
      </c>
      <c r="H27" s="180" t="s">
        <v>206</v>
      </c>
      <c r="I27" s="179" t="s">
        <v>496</v>
      </c>
      <c r="J27" s="179" t="s">
        <v>497</v>
      </c>
      <c r="K27" s="181" t="s">
        <v>498</v>
      </c>
      <c r="L27" s="180"/>
      <c r="M27" s="181" t="s">
        <v>499</v>
      </c>
      <c r="N27" s="180"/>
      <c r="O27" s="180"/>
      <c r="P27" s="180"/>
      <c r="Q27" s="180"/>
      <c r="R27" s="180"/>
      <c r="S27" s="180"/>
      <c r="T27" s="180"/>
      <c r="U27" s="180"/>
      <c r="V27" s="180"/>
      <c r="W27" s="180"/>
      <c r="X27" s="180"/>
      <c r="Y27" s="180"/>
      <c r="Z27" s="180"/>
    </row>
    <row r="28" spans="1:28" customFormat="1" x14ac:dyDescent="0.25">
      <c r="A28" s="180" t="s">
        <v>489</v>
      </c>
      <c r="B28" s="180" t="s">
        <v>500</v>
      </c>
      <c r="C28" s="180" t="s">
        <v>501</v>
      </c>
      <c r="D28" s="180" t="s">
        <v>502</v>
      </c>
      <c r="E28" s="180" t="s">
        <v>503</v>
      </c>
      <c r="F28" s="179" t="s">
        <v>504</v>
      </c>
      <c r="G28" s="179" t="s">
        <v>505</v>
      </c>
      <c r="H28" s="180" t="s">
        <v>206</v>
      </c>
      <c r="I28" s="179" t="s">
        <v>506</v>
      </c>
      <c r="J28" s="179" t="s">
        <v>507</v>
      </c>
      <c r="K28" s="181" t="s">
        <v>508</v>
      </c>
      <c r="L28" s="184"/>
      <c r="M28" s="181" t="s">
        <v>0</v>
      </c>
      <c r="N28" s="181"/>
      <c r="O28" s="181"/>
      <c r="P28" s="181"/>
      <c r="Q28" s="181"/>
      <c r="R28" s="181"/>
      <c r="S28" s="181"/>
      <c r="T28" s="181"/>
      <c r="U28" s="181"/>
      <c r="V28" s="181"/>
      <c r="W28" s="181"/>
      <c r="X28" s="181"/>
      <c r="Y28" s="181"/>
      <c r="Z28" s="181"/>
    </row>
    <row r="29" spans="1:28" customFormat="1" x14ac:dyDescent="0.25">
      <c r="A29" s="180" t="s">
        <v>489</v>
      </c>
      <c r="B29" s="180" t="s">
        <v>509</v>
      </c>
      <c r="C29" s="180" t="s">
        <v>510</v>
      </c>
      <c r="D29" s="180" t="s">
        <v>511</v>
      </c>
      <c r="E29" s="180" t="s">
        <v>512</v>
      </c>
      <c r="F29" s="179" t="s">
        <v>513</v>
      </c>
      <c r="G29" s="179" t="s">
        <v>514</v>
      </c>
      <c r="H29" s="180" t="s">
        <v>206</v>
      </c>
      <c r="I29" s="179" t="s">
        <v>515</v>
      </c>
      <c r="J29" s="179" t="s">
        <v>516</v>
      </c>
      <c r="K29" s="181" t="s">
        <v>517</v>
      </c>
      <c r="L29" s="184"/>
      <c r="M29" s="180"/>
      <c r="N29" s="180"/>
      <c r="O29" s="180"/>
      <c r="P29" s="180"/>
      <c r="Q29" s="180"/>
      <c r="R29" s="180"/>
      <c r="S29" s="180"/>
      <c r="T29" s="180"/>
      <c r="U29" s="180"/>
      <c r="V29" s="180"/>
      <c r="W29" s="180"/>
      <c r="X29" s="180"/>
      <c r="Y29" s="180"/>
      <c r="Z29" s="180"/>
    </row>
    <row r="30" spans="1:28" customFormat="1" x14ac:dyDescent="0.25">
      <c r="A30" s="180" t="s">
        <v>489</v>
      </c>
      <c r="B30" s="180" t="s">
        <v>518</v>
      </c>
      <c r="C30" s="180" t="s">
        <v>519</v>
      </c>
      <c r="D30" s="180" t="s">
        <v>520</v>
      </c>
      <c r="E30" s="180" t="s">
        <v>521</v>
      </c>
      <c r="F30" s="179" t="s">
        <v>522</v>
      </c>
      <c r="G30" s="179" t="s">
        <v>523</v>
      </c>
      <c r="H30" s="180" t="s">
        <v>206</v>
      </c>
      <c r="I30" s="179" t="s">
        <v>524</v>
      </c>
      <c r="J30" s="179" t="s">
        <v>525</v>
      </c>
      <c r="K30" s="181" t="s">
        <v>526</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527</v>
      </c>
      <c r="D32" s="179" t="s">
        <v>528</v>
      </c>
      <c r="E32" s="179" t="s">
        <v>529</v>
      </c>
      <c r="F32" s="179" t="s">
        <v>530</v>
      </c>
      <c r="G32" s="179" t="s">
        <v>531</v>
      </c>
      <c r="H32" s="179" t="s">
        <v>206</v>
      </c>
      <c r="I32" s="179" t="s">
        <v>532</v>
      </c>
      <c r="J32" s="179" t="s">
        <v>533</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5" t="str">
        <f>'3.4. Паспорт надежность'!A4</f>
        <v>Год раскрытия информации: 2024 год</v>
      </c>
      <c r="B5" s="455"/>
      <c r="C5" s="455"/>
      <c r="D5" s="455"/>
      <c r="E5" s="455"/>
      <c r="F5" s="455"/>
      <c r="G5" s="455"/>
      <c r="H5" s="455"/>
      <c r="I5" s="455"/>
      <c r="J5" s="455"/>
      <c r="K5" s="455"/>
      <c r="L5" s="455"/>
      <c r="M5" s="455"/>
      <c r="N5" s="455"/>
      <c r="O5" s="455"/>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20" t="s">
        <v>7</v>
      </c>
      <c r="B7" s="420"/>
      <c r="C7" s="420"/>
      <c r="D7" s="420"/>
      <c r="E7" s="420"/>
      <c r="F7" s="420"/>
      <c r="G7" s="420"/>
      <c r="H7" s="420"/>
      <c r="I7" s="420"/>
      <c r="J7" s="420"/>
      <c r="K7" s="420"/>
      <c r="L7" s="420"/>
      <c r="M7" s="420"/>
      <c r="N7" s="420"/>
      <c r="O7" s="420"/>
      <c r="P7" s="73"/>
      <c r="Q7" s="73"/>
      <c r="R7" s="73"/>
      <c r="S7" s="73"/>
      <c r="T7" s="73"/>
      <c r="U7" s="73"/>
      <c r="V7" s="73"/>
      <c r="W7" s="73"/>
      <c r="X7" s="73"/>
      <c r="Y7" s="73"/>
      <c r="Z7" s="73"/>
    </row>
    <row r="8" spans="1:28" s="2" customFormat="1" ht="18.75" x14ac:dyDescent="0.2">
      <c r="A8" s="420"/>
      <c r="B8" s="420"/>
      <c r="C8" s="420"/>
      <c r="D8" s="420"/>
      <c r="E8" s="420"/>
      <c r="F8" s="420"/>
      <c r="G8" s="420"/>
      <c r="H8" s="420"/>
      <c r="I8" s="420"/>
      <c r="J8" s="420"/>
      <c r="K8" s="420"/>
      <c r="L8" s="420"/>
      <c r="M8" s="420"/>
      <c r="N8" s="420"/>
      <c r="O8" s="420"/>
      <c r="P8" s="73"/>
      <c r="Q8" s="73"/>
      <c r="R8" s="73"/>
      <c r="S8" s="73"/>
      <c r="T8" s="73"/>
      <c r="U8" s="73"/>
      <c r="V8" s="73"/>
      <c r="W8" s="73"/>
      <c r="X8" s="73"/>
      <c r="Y8" s="73"/>
      <c r="Z8" s="73"/>
    </row>
    <row r="9" spans="1:28" s="2" customFormat="1" ht="18.75" x14ac:dyDescent="0.2">
      <c r="A9" s="422" t="str">
        <f>'3.4. Паспорт надежность'!A8</f>
        <v>Акционерное общество "Россети Янтарь" ДЗО  ПАО "Россети"</v>
      </c>
      <c r="B9" s="422"/>
      <c r="C9" s="422"/>
      <c r="D9" s="422"/>
      <c r="E9" s="422"/>
      <c r="F9" s="422"/>
      <c r="G9" s="422"/>
      <c r="H9" s="422"/>
      <c r="I9" s="422"/>
      <c r="J9" s="422"/>
      <c r="K9" s="422"/>
      <c r="L9" s="422"/>
      <c r="M9" s="422"/>
      <c r="N9" s="422"/>
      <c r="O9" s="422"/>
      <c r="P9" s="73"/>
      <c r="Q9" s="73"/>
      <c r="R9" s="73"/>
      <c r="S9" s="73"/>
      <c r="T9" s="73"/>
      <c r="U9" s="73"/>
      <c r="V9" s="73"/>
      <c r="W9" s="73"/>
      <c r="X9" s="73"/>
      <c r="Y9" s="73"/>
      <c r="Z9" s="73"/>
    </row>
    <row r="10" spans="1:28" s="2" customFormat="1" ht="18.75" x14ac:dyDescent="0.2">
      <c r="A10" s="417" t="s">
        <v>6</v>
      </c>
      <c r="B10" s="417"/>
      <c r="C10" s="417"/>
      <c r="D10" s="417"/>
      <c r="E10" s="417"/>
      <c r="F10" s="417"/>
      <c r="G10" s="417"/>
      <c r="H10" s="417"/>
      <c r="I10" s="417"/>
      <c r="J10" s="417"/>
      <c r="K10" s="417"/>
      <c r="L10" s="417"/>
      <c r="M10" s="417"/>
      <c r="N10" s="417"/>
      <c r="O10" s="417"/>
      <c r="P10" s="73"/>
      <c r="Q10" s="73"/>
      <c r="R10" s="73"/>
      <c r="S10" s="73"/>
      <c r="T10" s="73"/>
      <c r="U10" s="73"/>
      <c r="V10" s="73"/>
      <c r="W10" s="73"/>
      <c r="X10" s="73"/>
      <c r="Y10" s="73"/>
      <c r="Z10" s="73"/>
    </row>
    <row r="11" spans="1:28" s="2" customFormat="1" ht="18.75" x14ac:dyDescent="0.2">
      <c r="A11" s="420"/>
      <c r="B11" s="420"/>
      <c r="C11" s="420"/>
      <c r="D11" s="420"/>
      <c r="E11" s="420"/>
      <c r="F11" s="420"/>
      <c r="G11" s="420"/>
      <c r="H11" s="420"/>
      <c r="I11" s="420"/>
      <c r="J11" s="420"/>
      <c r="K11" s="420"/>
      <c r="L11" s="420"/>
      <c r="M11" s="420"/>
      <c r="N11" s="420"/>
      <c r="O11" s="420"/>
      <c r="P11" s="73"/>
      <c r="Q11" s="73"/>
      <c r="R11" s="73"/>
      <c r="S11" s="73"/>
      <c r="T11" s="73"/>
      <c r="U11" s="73"/>
      <c r="V11" s="73"/>
      <c r="W11" s="73"/>
      <c r="X11" s="73"/>
      <c r="Y11" s="73"/>
      <c r="Z11" s="73"/>
    </row>
    <row r="12" spans="1:28" s="2" customFormat="1" ht="18.75" x14ac:dyDescent="0.2">
      <c r="A12" s="422" t="str">
        <f>'3.4. Паспорт надежность'!A11</f>
        <v>O_23-1261</v>
      </c>
      <c r="B12" s="422"/>
      <c r="C12" s="422"/>
      <c r="D12" s="422"/>
      <c r="E12" s="422"/>
      <c r="F12" s="422"/>
      <c r="G12" s="422"/>
      <c r="H12" s="422"/>
      <c r="I12" s="422"/>
      <c r="J12" s="422"/>
      <c r="K12" s="422"/>
      <c r="L12" s="422"/>
      <c r="M12" s="422"/>
      <c r="N12" s="422"/>
      <c r="O12" s="422"/>
      <c r="P12" s="73"/>
      <c r="Q12" s="73"/>
      <c r="R12" s="73"/>
      <c r="S12" s="73"/>
      <c r="T12" s="73"/>
      <c r="U12" s="73"/>
      <c r="V12" s="73"/>
      <c r="W12" s="73"/>
      <c r="X12" s="73"/>
      <c r="Y12" s="73"/>
      <c r="Z12" s="73"/>
    </row>
    <row r="13" spans="1:28" s="2" customFormat="1" ht="18.75" x14ac:dyDescent="0.2">
      <c r="A13" s="417" t="s">
        <v>5</v>
      </c>
      <c r="B13" s="417"/>
      <c r="C13" s="417"/>
      <c r="D13" s="417"/>
      <c r="E13" s="417"/>
      <c r="F13" s="417"/>
      <c r="G13" s="417"/>
      <c r="H13" s="417"/>
      <c r="I13" s="417"/>
      <c r="J13" s="417"/>
      <c r="K13" s="417"/>
      <c r="L13" s="417"/>
      <c r="M13" s="417"/>
      <c r="N13" s="417"/>
      <c r="O13" s="417"/>
      <c r="P13" s="73"/>
      <c r="Q13" s="73"/>
      <c r="R13" s="73"/>
      <c r="S13" s="73"/>
      <c r="T13" s="73"/>
      <c r="U13" s="73"/>
      <c r="V13" s="73"/>
      <c r="W13" s="73"/>
      <c r="X13" s="73"/>
      <c r="Y13" s="73"/>
      <c r="Z13" s="73"/>
    </row>
    <row r="14" spans="1:28" s="78" customFormat="1" ht="15.75" customHeight="1" x14ac:dyDescent="0.2">
      <c r="A14" s="426"/>
      <c r="B14" s="426"/>
      <c r="C14" s="426"/>
      <c r="D14" s="426"/>
      <c r="E14" s="426"/>
      <c r="F14" s="426"/>
      <c r="G14" s="426"/>
      <c r="H14" s="426"/>
      <c r="I14" s="426"/>
      <c r="J14" s="426"/>
      <c r="K14" s="426"/>
      <c r="L14" s="426"/>
      <c r="M14" s="426"/>
      <c r="N14" s="426"/>
      <c r="O14" s="426"/>
      <c r="P14" s="77"/>
      <c r="Q14" s="77"/>
      <c r="R14" s="77"/>
      <c r="S14" s="77"/>
      <c r="T14" s="77"/>
      <c r="U14" s="77"/>
      <c r="V14" s="77"/>
      <c r="W14" s="77"/>
      <c r="X14" s="77"/>
      <c r="Y14" s="77"/>
      <c r="Z14" s="77"/>
    </row>
    <row r="15" spans="1:28" s="79" customFormat="1" ht="46.5" customHeight="1" x14ac:dyDescent="0.2">
      <c r="A15" s="422" t="str">
        <f>'3.4. Паспорт надежность'!A14</f>
        <v>Строительство ЛЭП 0,4 кВ от ТП 034-10, организация системы учета электроэнергии г. Гурьевск, Пражский бульвар</v>
      </c>
      <c r="B15" s="422"/>
      <c r="C15" s="422"/>
      <c r="D15" s="422"/>
      <c r="E15" s="422"/>
      <c r="F15" s="422"/>
      <c r="G15" s="422"/>
      <c r="H15" s="422"/>
      <c r="I15" s="422"/>
      <c r="J15" s="422"/>
      <c r="K15" s="422"/>
      <c r="L15" s="422"/>
      <c r="M15" s="422"/>
      <c r="N15" s="422"/>
      <c r="O15" s="422"/>
      <c r="P15" s="75"/>
      <c r="Q15" s="75"/>
      <c r="R15" s="75"/>
      <c r="S15" s="75"/>
      <c r="T15" s="75"/>
      <c r="U15" s="75"/>
      <c r="V15" s="75"/>
      <c r="W15" s="75"/>
      <c r="X15" s="75"/>
      <c r="Y15" s="75"/>
      <c r="Z15" s="75"/>
    </row>
    <row r="16" spans="1:28" s="79" customFormat="1" ht="15" customHeight="1" x14ac:dyDescent="0.2">
      <c r="A16" s="417" t="s">
        <v>4</v>
      </c>
      <c r="B16" s="417"/>
      <c r="C16" s="417"/>
      <c r="D16" s="417"/>
      <c r="E16" s="417"/>
      <c r="F16" s="417"/>
      <c r="G16" s="417"/>
      <c r="H16" s="417"/>
      <c r="I16" s="417"/>
      <c r="J16" s="417"/>
      <c r="K16" s="417"/>
      <c r="L16" s="417"/>
      <c r="M16" s="417"/>
      <c r="N16" s="417"/>
      <c r="O16" s="417"/>
      <c r="P16" s="76"/>
      <c r="Q16" s="76"/>
      <c r="R16" s="76"/>
      <c r="S16" s="76"/>
      <c r="T16" s="76"/>
      <c r="U16" s="76"/>
      <c r="V16" s="76"/>
      <c r="W16" s="76"/>
      <c r="X16" s="76"/>
      <c r="Y16" s="76"/>
      <c r="Z16" s="76"/>
    </row>
    <row r="17" spans="1:26" s="79" customFormat="1" ht="15" customHeight="1" x14ac:dyDescent="0.2">
      <c r="A17" s="423"/>
      <c r="B17" s="423"/>
      <c r="C17" s="423"/>
      <c r="D17" s="423"/>
      <c r="E17" s="423"/>
      <c r="F17" s="423"/>
      <c r="G17" s="423"/>
      <c r="H17" s="423"/>
      <c r="I17" s="423"/>
      <c r="J17" s="423"/>
      <c r="K17" s="423"/>
      <c r="L17" s="423"/>
      <c r="M17" s="423"/>
      <c r="N17" s="423"/>
      <c r="O17" s="423"/>
      <c r="P17" s="80"/>
      <c r="Q17" s="80"/>
      <c r="R17" s="80"/>
      <c r="S17" s="80"/>
      <c r="T17" s="80"/>
      <c r="U17" s="80"/>
      <c r="V17" s="80"/>
      <c r="W17" s="80"/>
    </row>
    <row r="18" spans="1:26" s="79" customFormat="1" ht="91.5" customHeight="1" x14ac:dyDescent="0.2">
      <c r="A18" s="454" t="s">
        <v>356</v>
      </c>
      <c r="B18" s="454"/>
      <c r="C18" s="454"/>
      <c r="D18" s="454"/>
      <c r="E18" s="454"/>
      <c r="F18" s="454"/>
      <c r="G18" s="454"/>
      <c r="H18" s="454"/>
      <c r="I18" s="454"/>
      <c r="J18" s="454"/>
      <c r="K18" s="454"/>
      <c r="L18" s="454"/>
      <c r="M18" s="454"/>
      <c r="N18" s="454"/>
      <c r="O18" s="454"/>
      <c r="P18" s="81"/>
      <c r="Q18" s="81"/>
      <c r="R18" s="81"/>
      <c r="S18" s="81"/>
      <c r="T18" s="81"/>
      <c r="U18" s="81"/>
      <c r="V18" s="81"/>
      <c r="W18" s="81"/>
      <c r="X18" s="81"/>
      <c r="Y18" s="81"/>
      <c r="Z18" s="81"/>
    </row>
    <row r="19" spans="1:26" s="79" customFormat="1" ht="78" customHeight="1" x14ac:dyDescent="0.2">
      <c r="A19" s="427" t="s">
        <v>3</v>
      </c>
      <c r="B19" s="427" t="s">
        <v>82</v>
      </c>
      <c r="C19" s="427" t="s">
        <v>81</v>
      </c>
      <c r="D19" s="427" t="s">
        <v>73</v>
      </c>
      <c r="E19" s="456" t="s">
        <v>80</v>
      </c>
      <c r="F19" s="457"/>
      <c r="G19" s="457"/>
      <c r="H19" s="457"/>
      <c r="I19" s="458"/>
      <c r="J19" s="427" t="s">
        <v>79</v>
      </c>
      <c r="K19" s="427"/>
      <c r="L19" s="459"/>
      <c r="M19" s="459"/>
      <c r="N19" s="427"/>
      <c r="O19" s="427"/>
      <c r="P19" s="80"/>
      <c r="Q19" s="80"/>
      <c r="R19" s="80"/>
      <c r="S19" s="80"/>
      <c r="T19" s="80"/>
      <c r="U19" s="80"/>
      <c r="V19" s="80"/>
      <c r="W19" s="80"/>
    </row>
    <row r="20" spans="1:26" s="79" customFormat="1" ht="51" customHeight="1" x14ac:dyDescent="0.2">
      <c r="A20" s="427"/>
      <c r="B20" s="427"/>
      <c r="C20" s="427"/>
      <c r="D20" s="427"/>
      <c r="E20" s="98" t="s">
        <v>78</v>
      </c>
      <c r="F20" s="98" t="s">
        <v>77</v>
      </c>
      <c r="G20" s="98" t="s">
        <v>76</v>
      </c>
      <c r="H20" s="98" t="s">
        <v>75</v>
      </c>
      <c r="I20" s="98" t="s">
        <v>74</v>
      </c>
      <c r="J20" s="161">
        <v>2023</v>
      </c>
      <c r="K20" s="161">
        <v>2024</v>
      </c>
      <c r="L20" s="394">
        <v>2025</v>
      </c>
      <c r="M20" s="394">
        <v>2026</v>
      </c>
      <c r="N20" s="394">
        <v>2027</v>
      </c>
      <c r="O20" s="394">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47" customWidth="1"/>
    <col min="2" max="2" width="18.5703125" style="223" customWidth="1"/>
    <col min="3" max="12" width="16.85546875" style="223" customWidth="1"/>
    <col min="13" max="42" width="16.85546875" style="223" hidden="1" customWidth="1"/>
    <col min="43" max="45" width="16.85546875" style="225" hidden="1" customWidth="1"/>
    <col min="46" max="47" width="16.85546875" style="226" hidden="1" customWidth="1"/>
    <col min="48" max="51" width="16.85546875" style="226" customWidth="1"/>
    <col min="52" max="256" width="9.140625" style="226"/>
    <col min="257" max="257" width="61.7109375" style="226" customWidth="1"/>
    <col min="258" max="258" width="18.5703125" style="226" customWidth="1"/>
    <col min="259" max="298" width="16.85546875" style="226" customWidth="1"/>
    <col min="299" max="300" width="18.5703125" style="226" customWidth="1"/>
    <col min="301" max="301" width="21.7109375" style="226" customWidth="1"/>
    <col min="302" max="512" width="9.140625" style="226"/>
    <col min="513" max="513" width="61.7109375" style="226" customWidth="1"/>
    <col min="514" max="514" width="18.5703125" style="226" customWidth="1"/>
    <col min="515" max="554" width="16.85546875" style="226" customWidth="1"/>
    <col min="555" max="556" width="18.5703125" style="226" customWidth="1"/>
    <col min="557" max="557" width="21.7109375" style="226" customWidth="1"/>
    <col min="558" max="768" width="9.140625" style="226"/>
    <col min="769" max="769" width="61.7109375" style="226" customWidth="1"/>
    <col min="770" max="770" width="18.5703125" style="226" customWidth="1"/>
    <col min="771" max="810" width="16.85546875" style="226" customWidth="1"/>
    <col min="811" max="812" width="18.5703125" style="226" customWidth="1"/>
    <col min="813" max="813" width="21.7109375" style="226" customWidth="1"/>
    <col min="814" max="1024" width="9.140625" style="226"/>
    <col min="1025" max="1025" width="61.7109375" style="226" customWidth="1"/>
    <col min="1026" max="1026" width="18.5703125" style="226" customWidth="1"/>
    <col min="1027" max="1066" width="16.85546875" style="226" customWidth="1"/>
    <col min="1067" max="1068" width="18.5703125" style="226" customWidth="1"/>
    <col min="1069" max="1069" width="21.7109375" style="226" customWidth="1"/>
    <col min="1070" max="1280" width="9.140625" style="226"/>
    <col min="1281" max="1281" width="61.7109375" style="226" customWidth="1"/>
    <col min="1282" max="1282" width="18.5703125" style="226" customWidth="1"/>
    <col min="1283" max="1322" width="16.85546875" style="226" customWidth="1"/>
    <col min="1323" max="1324" width="18.5703125" style="226" customWidth="1"/>
    <col min="1325" max="1325" width="21.7109375" style="226" customWidth="1"/>
    <col min="1326" max="1536" width="9.140625" style="226"/>
    <col min="1537" max="1537" width="61.7109375" style="226" customWidth="1"/>
    <col min="1538" max="1538" width="18.5703125" style="226" customWidth="1"/>
    <col min="1539" max="1578" width="16.85546875" style="226" customWidth="1"/>
    <col min="1579" max="1580" width="18.5703125" style="226" customWidth="1"/>
    <col min="1581" max="1581" width="21.7109375" style="226" customWidth="1"/>
    <col min="1582" max="1792" width="9.140625" style="226"/>
    <col min="1793" max="1793" width="61.7109375" style="226" customWidth="1"/>
    <col min="1794" max="1794" width="18.5703125" style="226" customWidth="1"/>
    <col min="1795" max="1834" width="16.85546875" style="226" customWidth="1"/>
    <col min="1835" max="1836" width="18.5703125" style="226" customWidth="1"/>
    <col min="1837" max="1837" width="21.7109375" style="226" customWidth="1"/>
    <col min="1838" max="2048" width="9.140625" style="226"/>
    <col min="2049" max="2049" width="61.7109375" style="226" customWidth="1"/>
    <col min="2050" max="2050" width="18.5703125" style="226" customWidth="1"/>
    <col min="2051" max="2090" width="16.85546875" style="226" customWidth="1"/>
    <col min="2091" max="2092" width="18.5703125" style="226" customWidth="1"/>
    <col min="2093" max="2093" width="21.7109375" style="226" customWidth="1"/>
    <col min="2094" max="2304" width="9.140625" style="226"/>
    <col min="2305" max="2305" width="61.7109375" style="226" customWidth="1"/>
    <col min="2306" max="2306" width="18.5703125" style="226" customWidth="1"/>
    <col min="2307" max="2346" width="16.85546875" style="226" customWidth="1"/>
    <col min="2347" max="2348" width="18.5703125" style="226" customWidth="1"/>
    <col min="2349" max="2349" width="21.7109375" style="226" customWidth="1"/>
    <col min="2350" max="2560" width="9.140625" style="226"/>
    <col min="2561" max="2561" width="61.7109375" style="226" customWidth="1"/>
    <col min="2562" max="2562" width="18.5703125" style="226" customWidth="1"/>
    <col min="2563" max="2602" width="16.85546875" style="226" customWidth="1"/>
    <col min="2603" max="2604" width="18.5703125" style="226" customWidth="1"/>
    <col min="2605" max="2605" width="21.7109375" style="226" customWidth="1"/>
    <col min="2606" max="2816" width="9.140625" style="226"/>
    <col min="2817" max="2817" width="61.7109375" style="226" customWidth="1"/>
    <col min="2818" max="2818" width="18.5703125" style="226" customWidth="1"/>
    <col min="2819" max="2858" width="16.85546875" style="226" customWidth="1"/>
    <col min="2859" max="2860" width="18.5703125" style="226" customWidth="1"/>
    <col min="2861" max="2861" width="21.7109375" style="226" customWidth="1"/>
    <col min="2862" max="3072" width="9.140625" style="226"/>
    <col min="3073" max="3073" width="61.7109375" style="226" customWidth="1"/>
    <col min="3074" max="3074" width="18.5703125" style="226" customWidth="1"/>
    <col min="3075" max="3114" width="16.85546875" style="226" customWidth="1"/>
    <col min="3115" max="3116" width="18.5703125" style="226" customWidth="1"/>
    <col min="3117" max="3117" width="21.7109375" style="226" customWidth="1"/>
    <col min="3118" max="3328" width="9.140625" style="226"/>
    <col min="3329" max="3329" width="61.7109375" style="226" customWidth="1"/>
    <col min="3330" max="3330" width="18.5703125" style="226" customWidth="1"/>
    <col min="3331" max="3370" width="16.85546875" style="226" customWidth="1"/>
    <col min="3371" max="3372" width="18.5703125" style="226" customWidth="1"/>
    <col min="3373" max="3373" width="21.7109375" style="226" customWidth="1"/>
    <col min="3374" max="3584" width="9.140625" style="226"/>
    <col min="3585" max="3585" width="61.7109375" style="226" customWidth="1"/>
    <col min="3586" max="3586" width="18.5703125" style="226" customWidth="1"/>
    <col min="3587" max="3626" width="16.85546875" style="226" customWidth="1"/>
    <col min="3627" max="3628" width="18.5703125" style="226" customWidth="1"/>
    <col min="3629" max="3629" width="21.7109375" style="226" customWidth="1"/>
    <col min="3630" max="3840" width="9.140625" style="226"/>
    <col min="3841" max="3841" width="61.7109375" style="226" customWidth="1"/>
    <col min="3842" max="3842" width="18.5703125" style="226" customWidth="1"/>
    <col min="3843" max="3882" width="16.85546875" style="226" customWidth="1"/>
    <col min="3883" max="3884" width="18.5703125" style="226" customWidth="1"/>
    <col min="3885" max="3885" width="21.7109375" style="226" customWidth="1"/>
    <col min="3886" max="4096" width="9.140625" style="226"/>
    <col min="4097" max="4097" width="61.7109375" style="226" customWidth="1"/>
    <col min="4098" max="4098" width="18.5703125" style="226" customWidth="1"/>
    <col min="4099" max="4138" width="16.85546875" style="226" customWidth="1"/>
    <col min="4139" max="4140" width="18.5703125" style="226" customWidth="1"/>
    <col min="4141" max="4141" width="21.7109375" style="226" customWidth="1"/>
    <col min="4142" max="4352" width="9.140625" style="226"/>
    <col min="4353" max="4353" width="61.7109375" style="226" customWidth="1"/>
    <col min="4354" max="4354" width="18.5703125" style="226" customWidth="1"/>
    <col min="4355" max="4394" width="16.85546875" style="226" customWidth="1"/>
    <col min="4395" max="4396" width="18.5703125" style="226" customWidth="1"/>
    <col min="4397" max="4397" width="21.7109375" style="226" customWidth="1"/>
    <col min="4398" max="4608" width="9.140625" style="226"/>
    <col min="4609" max="4609" width="61.7109375" style="226" customWidth="1"/>
    <col min="4610" max="4610" width="18.5703125" style="226" customWidth="1"/>
    <col min="4611" max="4650" width="16.85546875" style="226" customWidth="1"/>
    <col min="4651" max="4652" width="18.5703125" style="226" customWidth="1"/>
    <col min="4653" max="4653" width="21.7109375" style="226" customWidth="1"/>
    <col min="4654" max="4864" width="9.140625" style="226"/>
    <col min="4865" max="4865" width="61.7109375" style="226" customWidth="1"/>
    <col min="4866" max="4866" width="18.5703125" style="226" customWidth="1"/>
    <col min="4867" max="4906" width="16.85546875" style="226" customWidth="1"/>
    <col min="4907" max="4908" width="18.5703125" style="226" customWidth="1"/>
    <col min="4909" max="4909" width="21.7109375" style="226" customWidth="1"/>
    <col min="4910" max="5120" width="9.140625" style="226"/>
    <col min="5121" max="5121" width="61.7109375" style="226" customWidth="1"/>
    <col min="5122" max="5122" width="18.5703125" style="226" customWidth="1"/>
    <col min="5123" max="5162" width="16.85546875" style="226" customWidth="1"/>
    <col min="5163" max="5164" width="18.5703125" style="226" customWidth="1"/>
    <col min="5165" max="5165" width="21.7109375" style="226" customWidth="1"/>
    <col min="5166" max="5376" width="9.140625" style="226"/>
    <col min="5377" max="5377" width="61.7109375" style="226" customWidth="1"/>
    <col min="5378" max="5378" width="18.5703125" style="226" customWidth="1"/>
    <col min="5379" max="5418" width="16.85546875" style="226" customWidth="1"/>
    <col min="5419" max="5420" width="18.5703125" style="226" customWidth="1"/>
    <col min="5421" max="5421" width="21.7109375" style="226" customWidth="1"/>
    <col min="5422" max="5632" width="9.140625" style="226"/>
    <col min="5633" max="5633" width="61.7109375" style="226" customWidth="1"/>
    <col min="5634" max="5634" width="18.5703125" style="226" customWidth="1"/>
    <col min="5635" max="5674" width="16.85546875" style="226" customWidth="1"/>
    <col min="5675" max="5676" width="18.5703125" style="226" customWidth="1"/>
    <col min="5677" max="5677" width="21.7109375" style="226" customWidth="1"/>
    <col min="5678" max="5888" width="9.140625" style="226"/>
    <col min="5889" max="5889" width="61.7109375" style="226" customWidth="1"/>
    <col min="5890" max="5890" width="18.5703125" style="226" customWidth="1"/>
    <col min="5891" max="5930" width="16.85546875" style="226" customWidth="1"/>
    <col min="5931" max="5932" width="18.5703125" style="226" customWidth="1"/>
    <col min="5933" max="5933" width="21.7109375" style="226" customWidth="1"/>
    <col min="5934" max="6144" width="9.140625" style="226"/>
    <col min="6145" max="6145" width="61.7109375" style="226" customWidth="1"/>
    <col min="6146" max="6146" width="18.5703125" style="226" customWidth="1"/>
    <col min="6147" max="6186" width="16.85546875" style="226" customWidth="1"/>
    <col min="6187" max="6188" width="18.5703125" style="226" customWidth="1"/>
    <col min="6189" max="6189" width="21.7109375" style="226" customWidth="1"/>
    <col min="6190" max="6400" width="9.140625" style="226"/>
    <col min="6401" max="6401" width="61.7109375" style="226" customWidth="1"/>
    <col min="6402" max="6402" width="18.5703125" style="226" customWidth="1"/>
    <col min="6403" max="6442" width="16.85546875" style="226" customWidth="1"/>
    <col min="6443" max="6444" width="18.5703125" style="226" customWidth="1"/>
    <col min="6445" max="6445" width="21.7109375" style="226" customWidth="1"/>
    <col min="6446" max="6656" width="9.140625" style="226"/>
    <col min="6657" max="6657" width="61.7109375" style="226" customWidth="1"/>
    <col min="6658" max="6658" width="18.5703125" style="226" customWidth="1"/>
    <col min="6659" max="6698" width="16.85546875" style="226" customWidth="1"/>
    <col min="6699" max="6700" width="18.5703125" style="226" customWidth="1"/>
    <col min="6701" max="6701" width="21.7109375" style="226" customWidth="1"/>
    <col min="6702" max="6912" width="9.140625" style="226"/>
    <col min="6913" max="6913" width="61.7109375" style="226" customWidth="1"/>
    <col min="6914" max="6914" width="18.5703125" style="226" customWidth="1"/>
    <col min="6915" max="6954" width="16.85546875" style="226" customWidth="1"/>
    <col min="6955" max="6956" width="18.5703125" style="226" customWidth="1"/>
    <col min="6957" max="6957" width="21.7109375" style="226" customWidth="1"/>
    <col min="6958" max="7168" width="9.140625" style="226"/>
    <col min="7169" max="7169" width="61.7109375" style="226" customWidth="1"/>
    <col min="7170" max="7170" width="18.5703125" style="226" customWidth="1"/>
    <col min="7171" max="7210" width="16.85546875" style="226" customWidth="1"/>
    <col min="7211" max="7212" width="18.5703125" style="226" customWidth="1"/>
    <col min="7213" max="7213" width="21.7109375" style="226" customWidth="1"/>
    <col min="7214" max="7424" width="9.140625" style="226"/>
    <col min="7425" max="7425" width="61.7109375" style="226" customWidth="1"/>
    <col min="7426" max="7426" width="18.5703125" style="226" customWidth="1"/>
    <col min="7427" max="7466" width="16.85546875" style="226" customWidth="1"/>
    <col min="7467" max="7468" width="18.5703125" style="226" customWidth="1"/>
    <col min="7469" max="7469" width="21.7109375" style="226" customWidth="1"/>
    <col min="7470" max="7680" width="9.140625" style="226"/>
    <col min="7681" max="7681" width="61.7109375" style="226" customWidth="1"/>
    <col min="7682" max="7682" width="18.5703125" style="226" customWidth="1"/>
    <col min="7683" max="7722" width="16.85546875" style="226" customWidth="1"/>
    <col min="7723" max="7724" width="18.5703125" style="226" customWidth="1"/>
    <col min="7725" max="7725" width="21.7109375" style="226" customWidth="1"/>
    <col min="7726" max="7936" width="9.140625" style="226"/>
    <col min="7937" max="7937" width="61.7109375" style="226" customWidth="1"/>
    <col min="7938" max="7938" width="18.5703125" style="226" customWidth="1"/>
    <col min="7939" max="7978" width="16.85546875" style="226" customWidth="1"/>
    <col min="7979" max="7980" width="18.5703125" style="226" customWidth="1"/>
    <col min="7981" max="7981" width="21.7109375" style="226" customWidth="1"/>
    <col min="7982" max="8192" width="9.140625" style="226"/>
    <col min="8193" max="8193" width="61.7109375" style="226" customWidth="1"/>
    <col min="8194" max="8194" width="18.5703125" style="226" customWidth="1"/>
    <col min="8195" max="8234" width="16.85546875" style="226" customWidth="1"/>
    <col min="8235" max="8236" width="18.5703125" style="226" customWidth="1"/>
    <col min="8237" max="8237" width="21.7109375" style="226" customWidth="1"/>
    <col min="8238" max="8448" width="9.140625" style="226"/>
    <col min="8449" max="8449" width="61.7109375" style="226" customWidth="1"/>
    <col min="8450" max="8450" width="18.5703125" style="226" customWidth="1"/>
    <col min="8451" max="8490" width="16.85546875" style="226" customWidth="1"/>
    <col min="8491" max="8492" width="18.5703125" style="226" customWidth="1"/>
    <col min="8493" max="8493" width="21.7109375" style="226" customWidth="1"/>
    <col min="8494" max="8704" width="9.140625" style="226"/>
    <col min="8705" max="8705" width="61.7109375" style="226" customWidth="1"/>
    <col min="8706" max="8706" width="18.5703125" style="226" customWidth="1"/>
    <col min="8707" max="8746" width="16.85546875" style="226" customWidth="1"/>
    <col min="8747" max="8748" width="18.5703125" style="226" customWidth="1"/>
    <col min="8749" max="8749" width="21.7109375" style="226" customWidth="1"/>
    <col min="8750" max="8960" width="9.140625" style="226"/>
    <col min="8961" max="8961" width="61.7109375" style="226" customWidth="1"/>
    <col min="8962" max="8962" width="18.5703125" style="226" customWidth="1"/>
    <col min="8963" max="9002" width="16.85546875" style="226" customWidth="1"/>
    <col min="9003" max="9004" width="18.5703125" style="226" customWidth="1"/>
    <col min="9005" max="9005" width="21.7109375" style="226" customWidth="1"/>
    <col min="9006" max="9216" width="9.140625" style="226"/>
    <col min="9217" max="9217" width="61.7109375" style="226" customWidth="1"/>
    <col min="9218" max="9218" width="18.5703125" style="226" customWidth="1"/>
    <col min="9219" max="9258" width="16.85546875" style="226" customWidth="1"/>
    <col min="9259" max="9260" width="18.5703125" style="226" customWidth="1"/>
    <col min="9261" max="9261" width="21.7109375" style="226" customWidth="1"/>
    <col min="9262" max="9472" width="9.140625" style="226"/>
    <col min="9473" max="9473" width="61.7109375" style="226" customWidth="1"/>
    <col min="9474" max="9474" width="18.5703125" style="226" customWidth="1"/>
    <col min="9475" max="9514" width="16.85546875" style="226" customWidth="1"/>
    <col min="9515" max="9516" width="18.5703125" style="226" customWidth="1"/>
    <col min="9517" max="9517" width="21.7109375" style="226" customWidth="1"/>
    <col min="9518" max="9728" width="9.140625" style="226"/>
    <col min="9729" max="9729" width="61.7109375" style="226" customWidth="1"/>
    <col min="9730" max="9730" width="18.5703125" style="226" customWidth="1"/>
    <col min="9731" max="9770" width="16.85546875" style="226" customWidth="1"/>
    <col min="9771" max="9772" width="18.5703125" style="226" customWidth="1"/>
    <col min="9773" max="9773" width="21.7109375" style="226" customWidth="1"/>
    <col min="9774" max="9984" width="9.140625" style="226"/>
    <col min="9985" max="9985" width="61.7109375" style="226" customWidth="1"/>
    <col min="9986" max="9986" width="18.5703125" style="226" customWidth="1"/>
    <col min="9987" max="10026" width="16.85546875" style="226" customWidth="1"/>
    <col min="10027" max="10028" width="18.5703125" style="226" customWidth="1"/>
    <col min="10029" max="10029" width="21.7109375" style="226" customWidth="1"/>
    <col min="10030" max="10240" width="9.140625" style="226"/>
    <col min="10241" max="10241" width="61.7109375" style="226" customWidth="1"/>
    <col min="10242" max="10242" width="18.5703125" style="226" customWidth="1"/>
    <col min="10243" max="10282" width="16.85546875" style="226" customWidth="1"/>
    <col min="10283" max="10284" width="18.5703125" style="226" customWidth="1"/>
    <col min="10285" max="10285" width="21.7109375" style="226" customWidth="1"/>
    <col min="10286" max="10496" width="9.140625" style="226"/>
    <col min="10497" max="10497" width="61.7109375" style="226" customWidth="1"/>
    <col min="10498" max="10498" width="18.5703125" style="226" customWidth="1"/>
    <col min="10499" max="10538" width="16.85546875" style="226" customWidth="1"/>
    <col min="10539" max="10540" width="18.5703125" style="226" customWidth="1"/>
    <col min="10541" max="10541" width="21.7109375" style="226" customWidth="1"/>
    <col min="10542" max="10752" width="9.140625" style="226"/>
    <col min="10753" max="10753" width="61.7109375" style="226" customWidth="1"/>
    <col min="10754" max="10754" width="18.5703125" style="226" customWidth="1"/>
    <col min="10755" max="10794" width="16.85546875" style="226" customWidth="1"/>
    <col min="10795" max="10796" width="18.5703125" style="226" customWidth="1"/>
    <col min="10797" max="10797" width="21.7109375" style="226" customWidth="1"/>
    <col min="10798" max="11008" width="9.140625" style="226"/>
    <col min="11009" max="11009" width="61.7109375" style="226" customWidth="1"/>
    <col min="11010" max="11010" width="18.5703125" style="226" customWidth="1"/>
    <col min="11011" max="11050" width="16.85546875" style="226" customWidth="1"/>
    <col min="11051" max="11052" width="18.5703125" style="226" customWidth="1"/>
    <col min="11053" max="11053" width="21.7109375" style="226" customWidth="1"/>
    <col min="11054" max="11264" width="9.140625" style="226"/>
    <col min="11265" max="11265" width="61.7109375" style="226" customWidth="1"/>
    <col min="11266" max="11266" width="18.5703125" style="226" customWidth="1"/>
    <col min="11267" max="11306" width="16.85546875" style="226" customWidth="1"/>
    <col min="11307" max="11308" width="18.5703125" style="226" customWidth="1"/>
    <col min="11309" max="11309" width="21.7109375" style="226" customWidth="1"/>
    <col min="11310" max="11520" width="9.140625" style="226"/>
    <col min="11521" max="11521" width="61.7109375" style="226" customWidth="1"/>
    <col min="11522" max="11522" width="18.5703125" style="226" customWidth="1"/>
    <col min="11523" max="11562" width="16.85546875" style="226" customWidth="1"/>
    <col min="11563" max="11564" width="18.5703125" style="226" customWidth="1"/>
    <col min="11565" max="11565" width="21.7109375" style="226" customWidth="1"/>
    <col min="11566" max="11776" width="9.140625" style="226"/>
    <col min="11777" max="11777" width="61.7109375" style="226" customWidth="1"/>
    <col min="11778" max="11778" width="18.5703125" style="226" customWidth="1"/>
    <col min="11779" max="11818" width="16.85546875" style="226" customWidth="1"/>
    <col min="11819" max="11820" width="18.5703125" style="226" customWidth="1"/>
    <col min="11821" max="11821" width="21.7109375" style="226" customWidth="1"/>
    <col min="11822" max="12032" width="9.140625" style="226"/>
    <col min="12033" max="12033" width="61.7109375" style="226" customWidth="1"/>
    <col min="12034" max="12034" width="18.5703125" style="226" customWidth="1"/>
    <col min="12035" max="12074" width="16.85546875" style="226" customWidth="1"/>
    <col min="12075" max="12076" width="18.5703125" style="226" customWidth="1"/>
    <col min="12077" max="12077" width="21.7109375" style="226" customWidth="1"/>
    <col min="12078" max="12288" width="9.140625" style="226"/>
    <col min="12289" max="12289" width="61.7109375" style="226" customWidth="1"/>
    <col min="12290" max="12290" width="18.5703125" style="226" customWidth="1"/>
    <col min="12291" max="12330" width="16.85546875" style="226" customWidth="1"/>
    <col min="12331" max="12332" width="18.5703125" style="226" customWidth="1"/>
    <col min="12333" max="12333" width="21.7109375" style="226" customWidth="1"/>
    <col min="12334" max="12544" width="9.140625" style="226"/>
    <col min="12545" max="12545" width="61.7109375" style="226" customWidth="1"/>
    <col min="12546" max="12546" width="18.5703125" style="226" customWidth="1"/>
    <col min="12547" max="12586" width="16.85546875" style="226" customWidth="1"/>
    <col min="12587" max="12588" width="18.5703125" style="226" customWidth="1"/>
    <col min="12589" max="12589" width="21.7109375" style="226" customWidth="1"/>
    <col min="12590" max="12800" width="9.140625" style="226"/>
    <col min="12801" max="12801" width="61.7109375" style="226" customWidth="1"/>
    <col min="12802" max="12802" width="18.5703125" style="226" customWidth="1"/>
    <col min="12803" max="12842" width="16.85546875" style="226" customWidth="1"/>
    <col min="12843" max="12844" width="18.5703125" style="226" customWidth="1"/>
    <col min="12845" max="12845" width="21.7109375" style="226" customWidth="1"/>
    <col min="12846" max="13056" width="9.140625" style="226"/>
    <col min="13057" max="13057" width="61.7109375" style="226" customWidth="1"/>
    <col min="13058" max="13058" width="18.5703125" style="226" customWidth="1"/>
    <col min="13059" max="13098" width="16.85546875" style="226" customWidth="1"/>
    <col min="13099" max="13100" width="18.5703125" style="226" customWidth="1"/>
    <col min="13101" max="13101" width="21.7109375" style="226" customWidth="1"/>
    <col min="13102" max="13312" width="9.140625" style="226"/>
    <col min="13313" max="13313" width="61.7109375" style="226" customWidth="1"/>
    <col min="13314" max="13314" width="18.5703125" style="226" customWidth="1"/>
    <col min="13315" max="13354" width="16.85546875" style="226" customWidth="1"/>
    <col min="13355" max="13356" width="18.5703125" style="226" customWidth="1"/>
    <col min="13357" max="13357" width="21.7109375" style="226" customWidth="1"/>
    <col min="13358" max="13568" width="9.140625" style="226"/>
    <col min="13569" max="13569" width="61.7109375" style="226" customWidth="1"/>
    <col min="13570" max="13570" width="18.5703125" style="226" customWidth="1"/>
    <col min="13571" max="13610" width="16.85546875" style="226" customWidth="1"/>
    <col min="13611" max="13612" width="18.5703125" style="226" customWidth="1"/>
    <col min="13613" max="13613" width="21.7109375" style="226" customWidth="1"/>
    <col min="13614" max="13824" width="9.140625" style="226"/>
    <col min="13825" max="13825" width="61.7109375" style="226" customWidth="1"/>
    <col min="13826" max="13826" width="18.5703125" style="226" customWidth="1"/>
    <col min="13827" max="13866" width="16.85546875" style="226" customWidth="1"/>
    <col min="13867" max="13868" width="18.5703125" style="226" customWidth="1"/>
    <col min="13869" max="13869" width="21.7109375" style="226" customWidth="1"/>
    <col min="13870" max="14080" width="9.140625" style="226"/>
    <col min="14081" max="14081" width="61.7109375" style="226" customWidth="1"/>
    <col min="14082" max="14082" width="18.5703125" style="226" customWidth="1"/>
    <col min="14083" max="14122" width="16.85546875" style="226" customWidth="1"/>
    <col min="14123" max="14124" width="18.5703125" style="226" customWidth="1"/>
    <col min="14125" max="14125" width="21.7109375" style="226" customWidth="1"/>
    <col min="14126" max="14336" width="9.140625" style="226"/>
    <col min="14337" max="14337" width="61.7109375" style="226" customWidth="1"/>
    <col min="14338" max="14338" width="18.5703125" style="226" customWidth="1"/>
    <col min="14339" max="14378" width="16.85546875" style="226" customWidth="1"/>
    <col min="14379" max="14380" width="18.5703125" style="226" customWidth="1"/>
    <col min="14381" max="14381" width="21.7109375" style="226" customWidth="1"/>
    <col min="14382" max="14592" width="9.140625" style="226"/>
    <col min="14593" max="14593" width="61.7109375" style="226" customWidth="1"/>
    <col min="14594" max="14594" width="18.5703125" style="226" customWidth="1"/>
    <col min="14595" max="14634" width="16.85546875" style="226" customWidth="1"/>
    <col min="14635" max="14636" width="18.5703125" style="226" customWidth="1"/>
    <col min="14637" max="14637" width="21.7109375" style="226" customWidth="1"/>
    <col min="14638" max="14848" width="9.140625" style="226"/>
    <col min="14849" max="14849" width="61.7109375" style="226" customWidth="1"/>
    <col min="14850" max="14850" width="18.5703125" style="226" customWidth="1"/>
    <col min="14851" max="14890" width="16.85546875" style="226" customWidth="1"/>
    <col min="14891" max="14892" width="18.5703125" style="226" customWidth="1"/>
    <col min="14893" max="14893" width="21.7109375" style="226" customWidth="1"/>
    <col min="14894" max="15104" width="9.140625" style="226"/>
    <col min="15105" max="15105" width="61.7109375" style="226" customWidth="1"/>
    <col min="15106" max="15106" width="18.5703125" style="226" customWidth="1"/>
    <col min="15107" max="15146" width="16.85546875" style="226" customWidth="1"/>
    <col min="15147" max="15148" width="18.5703125" style="226" customWidth="1"/>
    <col min="15149" max="15149" width="21.7109375" style="226" customWidth="1"/>
    <col min="15150" max="15360" width="9.140625" style="226"/>
    <col min="15361" max="15361" width="61.7109375" style="226" customWidth="1"/>
    <col min="15362" max="15362" width="18.5703125" style="226" customWidth="1"/>
    <col min="15363" max="15402" width="16.85546875" style="226" customWidth="1"/>
    <col min="15403" max="15404" width="18.5703125" style="226" customWidth="1"/>
    <col min="15405" max="15405" width="21.7109375" style="226" customWidth="1"/>
    <col min="15406" max="15616" width="9.140625" style="226"/>
    <col min="15617" max="15617" width="61.7109375" style="226" customWidth="1"/>
    <col min="15618" max="15618" width="18.5703125" style="226" customWidth="1"/>
    <col min="15619" max="15658" width="16.85546875" style="226" customWidth="1"/>
    <col min="15659" max="15660" width="18.5703125" style="226" customWidth="1"/>
    <col min="15661" max="15661" width="21.7109375" style="226" customWidth="1"/>
    <col min="15662" max="15872" width="9.140625" style="226"/>
    <col min="15873" max="15873" width="61.7109375" style="226" customWidth="1"/>
    <col min="15874" max="15874" width="18.5703125" style="226" customWidth="1"/>
    <col min="15875" max="15914" width="16.85546875" style="226" customWidth="1"/>
    <col min="15915" max="15916" width="18.5703125" style="226" customWidth="1"/>
    <col min="15917" max="15917" width="21.7109375" style="226" customWidth="1"/>
    <col min="15918" max="16128" width="9.140625" style="226"/>
    <col min="16129" max="16129" width="61.7109375" style="226" customWidth="1"/>
    <col min="16130" max="16130" width="18.5703125" style="226" customWidth="1"/>
    <col min="16131" max="16170" width="16.85546875" style="226" customWidth="1"/>
    <col min="16171" max="16172" width="18.5703125" style="226" customWidth="1"/>
    <col min="16173" max="16173" width="21.7109375" style="226" customWidth="1"/>
    <col min="16174" max="16384" width="9.140625" style="226"/>
  </cols>
  <sheetData>
    <row r="1" spans="1:44" ht="18.75" x14ac:dyDescent="0.2">
      <c r="A1" s="2"/>
      <c r="B1" s="222"/>
      <c r="C1" s="222"/>
      <c r="D1" s="222"/>
      <c r="G1" s="222"/>
      <c r="H1" s="4" t="s">
        <v>66</v>
      </c>
      <c r="I1" s="224"/>
      <c r="J1" s="224"/>
      <c r="K1" s="4"/>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row>
    <row r="2" spans="1:44" ht="18.75" x14ac:dyDescent="0.3">
      <c r="A2" s="2"/>
      <c r="B2" s="222"/>
      <c r="C2" s="222"/>
      <c r="D2" s="222"/>
      <c r="E2" s="226"/>
      <c r="F2" s="226"/>
      <c r="G2" s="222"/>
      <c r="H2" s="1" t="s">
        <v>8</v>
      </c>
      <c r="I2" s="224"/>
      <c r="J2" s="224"/>
      <c r="K2" s="1"/>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7"/>
      <c r="AR2" s="227"/>
    </row>
    <row r="3" spans="1:44" ht="18.75" x14ac:dyDescent="0.3">
      <c r="A3" s="228"/>
      <c r="B3" s="222"/>
      <c r="C3" s="222"/>
      <c r="D3" s="222"/>
      <c r="E3" s="226"/>
      <c r="F3" s="226"/>
      <c r="G3" s="222"/>
      <c r="H3" s="1" t="s">
        <v>256</v>
      </c>
      <c r="I3" s="224"/>
      <c r="J3" s="224"/>
      <c r="K3" s="1"/>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7"/>
      <c r="AR3" s="227"/>
    </row>
    <row r="4" spans="1:44" ht="18.75" x14ac:dyDescent="0.3">
      <c r="A4" s="228"/>
      <c r="B4" s="222"/>
      <c r="C4" s="222"/>
      <c r="D4" s="222"/>
      <c r="E4" s="222"/>
      <c r="F4" s="222"/>
      <c r="G4" s="222"/>
      <c r="H4" s="222"/>
      <c r="I4" s="224"/>
      <c r="J4" s="224"/>
      <c r="K4" s="1"/>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229"/>
      <c r="AR4" s="229"/>
    </row>
    <row r="5" spans="1:44" x14ac:dyDescent="0.2">
      <c r="A5" s="460" t="str">
        <f>'1. паспорт местоположение'!A5:C5</f>
        <v>Год раскрытия информации: 2024 год</v>
      </c>
      <c r="B5" s="460"/>
      <c r="C5" s="460"/>
      <c r="D5" s="460"/>
      <c r="E5" s="460"/>
      <c r="F5" s="460"/>
      <c r="G5" s="460"/>
      <c r="H5" s="46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228"/>
      <c r="B6" s="222"/>
      <c r="C6" s="222"/>
      <c r="D6" s="222"/>
      <c r="E6" s="222"/>
      <c r="F6" s="222"/>
      <c r="G6" s="222"/>
      <c r="H6" s="222"/>
      <c r="I6" s="224"/>
      <c r="J6" s="224"/>
      <c r="K6" s="1"/>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9"/>
      <c r="AR6" s="229"/>
    </row>
    <row r="7" spans="1:44" ht="18.75" x14ac:dyDescent="0.2">
      <c r="A7" s="461" t="s">
        <v>7</v>
      </c>
      <c r="B7" s="461"/>
      <c r="C7" s="461"/>
      <c r="D7" s="461"/>
      <c r="E7" s="461"/>
      <c r="F7" s="461"/>
      <c r="G7" s="461"/>
      <c r="H7" s="461"/>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3"/>
      <c r="AR7" s="233"/>
    </row>
    <row r="8" spans="1:44" ht="18.75" x14ac:dyDescent="0.2">
      <c r="A8" s="340"/>
      <c r="B8" s="340"/>
      <c r="C8" s="340"/>
      <c r="D8" s="340"/>
      <c r="E8" s="340"/>
      <c r="F8" s="340"/>
      <c r="G8" s="340"/>
      <c r="H8" s="340"/>
      <c r="I8" s="340"/>
      <c r="J8" s="340"/>
      <c r="K8" s="340"/>
      <c r="L8" s="232"/>
      <c r="M8" s="232"/>
      <c r="N8" s="232"/>
      <c r="O8" s="232"/>
      <c r="P8" s="232"/>
      <c r="Q8" s="232"/>
      <c r="R8" s="232"/>
      <c r="S8" s="232"/>
      <c r="T8" s="232"/>
      <c r="U8" s="232"/>
      <c r="V8" s="232"/>
      <c r="W8" s="232"/>
      <c r="X8" s="232"/>
      <c r="Y8" s="232"/>
      <c r="Z8" s="222"/>
      <c r="AA8" s="222"/>
      <c r="AB8" s="222"/>
      <c r="AC8" s="222"/>
      <c r="AD8" s="222"/>
      <c r="AE8" s="222"/>
      <c r="AF8" s="222"/>
      <c r="AG8" s="222"/>
      <c r="AH8" s="222"/>
      <c r="AI8" s="222"/>
      <c r="AJ8" s="222"/>
      <c r="AK8" s="222"/>
      <c r="AL8" s="222"/>
      <c r="AM8" s="222"/>
      <c r="AN8" s="222"/>
      <c r="AO8" s="222"/>
      <c r="AP8" s="222"/>
      <c r="AQ8" s="229"/>
      <c r="AR8" s="229"/>
    </row>
    <row r="9" spans="1:44" ht="18.75" x14ac:dyDescent="0.2">
      <c r="A9" s="462" t="str">
        <f>'1. паспорт местоположение'!A9:C9</f>
        <v>Акционерное общество "Россети Янтарь" ДЗО  ПАО "Россети"</v>
      </c>
      <c r="B9" s="462"/>
      <c r="C9" s="462"/>
      <c r="D9" s="462"/>
      <c r="E9" s="462"/>
      <c r="F9" s="462"/>
      <c r="G9" s="462"/>
      <c r="H9" s="462"/>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5"/>
      <c r="AR9" s="235"/>
    </row>
    <row r="10" spans="1:44" x14ac:dyDescent="0.2">
      <c r="A10" s="463" t="s">
        <v>6</v>
      </c>
      <c r="B10" s="463"/>
      <c r="C10" s="463"/>
      <c r="D10" s="463"/>
      <c r="E10" s="463"/>
      <c r="F10" s="463"/>
      <c r="G10" s="463"/>
      <c r="H10" s="463"/>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7"/>
      <c r="AR10" s="237"/>
    </row>
    <row r="11" spans="1:44" ht="18.75" x14ac:dyDescent="0.2">
      <c r="A11" s="340"/>
      <c r="B11" s="340"/>
      <c r="C11" s="340"/>
      <c r="D11" s="340"/>
      <c r="E11" s="340"/>
      <c r="F11" s="340"/>
      <c r="G11" s="340"/>
      <c r="H11" s="340"/>
      <c r="I11" s="340"/>
      <c r="J11" s="340"/>
      <c r="K11" s="340"/>
      <c r="L11" s="232"/>
      <c r="M11" s="232"/>
      <c r="N11" s="232"/>
      <c r="O11" s="232"/>
      <c r="P11" s="232"/>
      <c r="Q11" s="232"/>
      <c r="R11" s="232"/>
      <c r="S11" s="232"/>
      <c r="T11" s="232"/>
      <c r="U11" s="232"/>
      <c r="V11" s="232"/>
      <c r="W11" s="232"/>
      <c r="X11" s="232"/>
      <c r="Y11" s="232"/>
      <c r="Z11" s="222"/>
      <c r="AA11" s="222"/>
      <c r="AB11" s="222"/>
      <c r="AC11" s="222"/>
      <c r="AD11" s="222"/>
      <c r="AE11" s="222"/>
      <c r="AF11" s="222"/>
      <c r="AG11" s="222"/>
      <c r="AH11" s="222"/>
      <c r="AI11" s="222"/>
      <c r="AJ11" s="222"/>
      <c r="AK11" s="222"/>
      <c r="AL11" s="222"/>
      <c r="AM11" s="222"/>
      <c r="AN11" s="222"/>
      <c r="AO11" s="222"/>
      <c r="AP11" s="222"/>
      <c r="AQ11" s="229"/>
      <c r="AR11" s="229"/>
    </row>
    <row r="12" spans="1:44" ht="18.75" x14ac:dyDescent="0.2">
      <c r="A12" s="462" t="str">
        <f>'1. паспорт местоположение'!A12:C12</f>
        <v>O_23-1261</v>
      </c>
      <c r="B12" s="462"/>
      <c r="C12" s="462"/>
      <c r="D12" s="462"/>
      <c r="E12" s="462"/>
      <c r="F12" s="462"/>
      <c r="G12" s="462"/>
      <c r="H12" s="462"/>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5"/>
      <c r="AR12" s="235"/>
    </row>
    <row r="13" spans="1:44" x14ac:dyDescent="0.2">
      <c r="A13" s="463" t="s">
        <v>5</v>
      </c>
      <c r="B13" s="463"/>
      <c r="C13" s="463"/>
      <c r="D13" s="463"/>
      <c r="E13" s="463"/>
      <c r="F13" s="463"/>
      <c r="G13" s="463"/>
      <c r="H13" s="463"/>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7"/>
      <c r="AR13" s="237"/>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238"/>
      <c r="AA14" s="238"/>
      <c r="AB14" s="238"/>
      <c r="AC14" s="238"/>
      <c r="AD14" s="238"/>
      <c r="AE14" s="238"/>
      <c r="AF14" s="238"/>
      <c r="AG14" s="238"/>
      <c r="AH14" s="238"/>
      <c r="AI14" s="238"/>
      <c r="AJ14" s="238"/>
      <c r="AK14" s="238"/>
      <c r="AL14" s="238"/>
      <c r="AM14" s="238"/>
      <c r="AN14" s="238"/>
      <c r="AO14" s="238"/>
      <c r="AP14" s="238"/>
      <c r="AQ14" s="239"/>
      <c r="AR14" s="239"/>
    </row>
    <row r="15" spans="1:44" ht="18.75" x14ac:dyDescent="0.2">
      <c r="A15" s="464" t="str">
        <f>'1. паспорт местоположение'!A15:C15</f>
        <v>Строительство ЛЭП 0,4 кВ от ТП 034-10, организация системы учета электроэнергии г. Гурьевск, Пражский бульвар</v>
      </c>
      <c r="B15" s="465"/>
      <c r="C15" s="465"/>
      <c r="D15" s="465"/>
      <c r="E15" s="465"/>
      <c r="F15" s="465"/>
      <c r="G15" s="465"/>
      <c r="H15" s="465"/>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5"/>
      <c r="AR15" s="235"/>
    </row>
    <row r="16" spans="1:44" x14ac:dyDescent="0.2">
      <c r="A16" s="463" t="s">
        <v>4</v>
      </c>
      <c r="B16" s="463"/>
      <c r="C16" s="463"/>
      <c r="D16" s="463"/>
      <c r="E16" s="463"/>
      <c r="F16" s="463"/>
      <c r="G16" s="463"/>
      <c r="H16" s="463"/>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7"/>
      <c r="AR16" s="237"/>
    </row>
    <row r="17" spans="1:44" ht="18.75" x14ac:dyDescent="0.2">
      <c r="A17" s="240"/>
      <c r="B17" s="240"/>
      <c r="C17" s="240"/>
      <c r="D17" s="240"/>
      <c r="E17" s="240"/>
      <c r="F17" s="240"/>
      <c r="G17" s="240"/>
      <c r="H17" s="240"/>
      <c r="I17" s="240"/>
      <c r="J17" s="240"/>
      <c r="K17" s="240"/>
      <c r="L17" s="240"/>
      <c r="M17" s="240"/>
      <c r="N17" s="240"/>
      <c r="O17" s="240"/>
      <c r="P17" s="240"/>
      <c r="Q17" s="240"/>
      <c r="R17" s="240"/>
      <c r="S17" s="240"/>
      <c r="T17" s="240"/>
      <c r="U17" s="240"/>
      <c r="V17" s="240"/>
      <c r="W17" s="241"/>
      <c r="X17" s="241"/>
      <c r="Y17" s="241"/>
      <c r="Z17" s="241"/>
      <c r="AA17" s="241"/>
      <c r="AB17" s="241"/>
      <c r="AC17" s="241"/>
      <c r="AD17" s="241"/>
      <c r="AE17" s="241"/>
      <c r="AF17" s="241"/>
      <c r="AG17" s="241"/>
      <c r="AH17" s="241"/>
      <c r="AI17" s="241"/>
      <c r="AJ17" s="241"/>
      <c r="AK17" s="241"/>
      <c r="AL17" s="241"/>
      <c r="AM17" s="241"/>
      <c r="AN17" s="241"/>
      <c r="AO17" s="241"/>
      <c r="AP17" s="241"/>
      <c r="AQ17" s="242"/>
      <c r="AR17" s="242"/>
    </row>
    <row r="18" spans="1:44" ht="18.75" x14ac:dyDescent="0.2">
      <c r="A18" s="462" t="s">
        <v>357</v>
      </c>
      <c r="B18" s="462"/>
      <c r="C18" s="462"/>
      <c r="D18" s="462"/>
      <c r="E18" s="462"/>
      <c r="F18" s="462"/>
      <c r="G18" s="462"/>
      <c r="H18" s="462"/>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255</v>
      </c>
      <c r="B24" s="250" t="s">
        <v>1</v>
      </c>
      <c r="D24" s="251"/>
      <c r="E24" s="252"/>
      <c r="F24" s="252"/>
      <c r="G24" s="252"/>
      <c r="H24" s="252"/>
    </row>
    <row r="25" spans="1:44" x14ac:dyDescent="0.2">
      <c r="A25" s="253" t="s">
        <v>390</v>
      </c>
      <c r="B25" s="254">
        <f>$B$126/1.2</f>
        <v>5036658.333333334</v>
      </c>
    </row>
    <row r="26" spans="1:44" x14ac:dyDescent="0.2">
      <c r="A26" s="255" t="s">
        <v>253</v>
      </c>
      <c r="B26" s="342">
        <v>0</v>
      </c>
    </row>
    <row r="27" spans="1:44" x14ac:dyDescent="0.2">
      <c r="A27" s="255" t="s">
        <v>251</v>
      </c>
      <c r="B27" s="342">
        <f>$B$123</f>
        <v>30</v>
      </c>
      <c r="D27" s="248" t="s">
        <v>254</v>
      </c>
    </row>
    <row r="28" spans="1:44" ht="16.149999999999999" customHeight="1" thickBot="1" x14ac:dyDescent="0.25">
      <c r="A28" s="256" t="s">
        <v>249</v>
      </c>
      <c r="B28" s="257">
        <v>1</v>
      </c>
      <c r="D28" s="466" t="s">
        <v>252</v>
      </c>
      <c r="E28" s="467"/>
      <c r="F28" s="468"/>
      <c r="G28" s="469" t="str">
        <f>IF(SUM(B89:L89)=0,"не окупается",SUM(B89:L89))</f>
        <v>не окупается</v>
      </c>
      <c r="H28" s="470"/>
    </row>
    <row r="29" spans="1:44" ht="15.6" customHeight="1" x14ac:dyDescent="0.2">
      <c r="A29" s="253" t="s">
        <v>248</v>
      </c>
      <c r="B29" s="254">
        <f>$B$126*$B$127</f>
        <v>181319.69999999998</v>
      </c>
      <c r="D29" s="466" t="s">
        <v>250</v>
      </c>
      <c r="E29" s="467"/>
      <c r="F29" s="468"/>
      <c r="G29" s="469" t="str">
        <f>IF(SUM(B90:L90)=0,"не окупается",SUM(B90:L90))</f>
        <v>не окупается</v>
      </c>
      <c r="H29" s="470"/>
    </row>
    <row r="30" spans="1:44" ht="27.6" customHeight="1" x14ac:dyDescent="0.2">
      <c r="A30" s="255" t="s">
        <v>391</v>
      </c>
      <c r="B30" s="342">
        <v>1</v>
      </c>
      <c r="D30" s="466" t="s">
        <v>542</v>
      </c>
      <c r="E30" s="467"/>
      <c r="F30" s="468"/>
      <c r="G30" s="471">
        <f>L87</f>
        <v>-631076.7256070415</v>
      </c>
      <c r="H30" s="472"/>
    </row>
    <row r="31" spans="1:44" x14ac:dyDescent="0.2">
      <c r="A31" s="255" t="s">
        <v>247</v>
      </c>
      <c r="B31" s="342">
        <v>1</v>
      </c>
      <c r="D31" s="473"/>
      <c r="E31" s="474"/>
      <c r="F31" s="475"/>
      <c r="G31" s="473"/>
      <c r="H31" s="475"/>
    </row>
    <row r="32" spans="1:44" x14ac:dyDescent="0.2">
      <c r="A32" s="255" t="s">
        <v>226</v>
      </c>
      <c r="B32" s="342"/>
    </row>
    <row r="33" spans="1:42" x14ac:dyDescent="0.2">
      <c r="A33" s="255" t="s">
        <v>246</v>
      </c>
      <c r="B33" s="342"/>
    </row>
    <row r="34" spans="1:42" x14ac:dyDescent="0.2">
      <c r="A34" s="255" t="s">
        <v>245</v>
      </c>
      <c r="B34" s="342"/>
    </row>
    <row r="35" spans="1:42" x14ac:dyDescent="0.2">
      <c r="A35" s="343"/>
      <c r="B35" s="342"/>
    </row>
    <row r="36" spans="1:42" ht="16.5" thickBot="1" x14ac:dyDescent="0.25">
      <c r="A36" s="256" t="s">
        <v>220</v>
      </c>
      <c r="B36" s="258">
        <v>0.2</v>
      </c>
    </row>
    <row r="37" spans="1:42" x14ac:dyDescent="0.2">
      <c r="A37" s="253" t="s">
        <v>389</v>
      </c>
      <c r="B37" s="254">
        <v>0</v>
      </c>
    </row>
    <row r="38" spans="1:42" x14ac:dyDescent="0.2">
      <c r="A38" s="255" t="s">
        <v>244</v>
      </c>
      <c r="B38" s="342"/>
    </row>
    <row r="39" spans="1:42" ht="16.5" thickBot="1" x14ac:dyDescent="0.25">
      <c r="A39" s="344" t="s">
        <v>243</v>
      </c>
      <c r="B39" s="345"/>
    </row>
    <row r="40" spans="1:42" x14ac:dyDescent="0.2">
      <c r="A40" s="259" t="s">
        <v>392</v>
      </c>
      <c r="B40" s="260">
        <v>1</v>
      </c>
    </row>
    <row r="41" spans="1:42" x14ac:dyDescent="0.2">
      <c r="A41" s="261" t="s">
        <v>242</v>
      </c>
      <c r="B41" s="262"/>
    </row>
    <row r="42" spans="1:42" x14ac:dyDescent="0.2">
      <c r="A42" s="261" t="s">
        <v>241</v>
      </c>
      <c r="B42" s="263"/>
    </row>
    <row r="43" spans="1:42" x14ac:dyDescent="0.2">
      <c r="A43" s="261" t="s">
        <v>240</v>
      </c>
      <c r="B43" s="263">
        <v>0</v>
      </c>
    </row>
    <row r="44" spans="1:42" x14ac:dyDescent="0.2">
      <c r="A44" s="261" t="s">
        <v>239</v>
      </c>
      <c r="B44" s="263">
        <f>B129</f>
        <v>0.20499999999999999</v>
      </c>
    </row>
    <row r="45" spans="1:42" x14ac:dyDescent="0.2">
      <c r="A45" s="261" t="s">
        <v>238</v>
      </c>
      <c r="B45" s="263">
        <f>1-B43</f>
        <v>1</v>
      </c>
    </row>
    <row r="46" spans="1:42" ht="16.5" thickBot="1" x14ac:dyDescent="0.25">
      <c r="A46" s="346" t="s">
        <v>543</v>
      </c>
      <c r="B46" s="347">
        <f>B45*B44+B43*B42*(1-B36)</f>
        <v>0.20499999999999999</v>
      </c>
      <c r="C46" s="264"/>
    </row>
    <row r="47" spans="1:42" s="267" customFormat="1" x14ac:dyDescent="0.2">
      <c r="A47" s="265" t="s">
        <v>237</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236</v>
      </c>
      <c r="B48" s="348">
        <f>J136</f>
        <v>4.2000000000000003E-2</v>
      </c>
      <c r="C48" s="348">
        <f t="shared" ref="C48:AP48" si="1">K136</f>
        <v>4.2000000000000003E-2</v>
      </c>
      <c r="D48" s="348">
        <f t="shared" si="1"/>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si="1"/>
        <v>4.2000000000000003E-2</v>
      </c>
      <c r="T48" s="348">
        <f t="shared" si="1"/>
        <v>4.2000000000000003E-2</v>
      </c>
      <c r="U48" s="348">
        <f t="shared" si="1"/>
        <v>4.2000000000000003E-2</v>
      </c>
      <c r="V48" s="348">
        <f t="shared" si="1"/>
        <v>4.2000000000000003E-2</v>
      </c>
      <c r="W48" s="348">
        <f t="shared" si="1"/>
        <v>4.2000000000000003E-2</v>
      </c>
      <c r="X48" s="348">
        <f t="shared" si="1"/>
        <v>4.2000000000000003E-2</v>
      </c>
      <c r="Y48" s="348">
        <f t="shared" si="1"/>
        <v>4.2000000000000003E-2</v>
      </c>
      <c r="Z48" s="348">
        <f t="shared" si="1"/>
        <v>4.2000000000000003E-2</v>
      </c>
      <c r="AA48" s="348">
        <f t="shared" si="1"/>
        <v>4.2000000000000003E-2</v>
      </c>
      <c r="AB48" s="348">
        <f t="shared" si="1"/>
        <v>4.2000000000000003E-2</v>
      </c>
      <c r="AC48" s="348">
        <f t="shared" si="1"/>
        <v>4.2000000000000003E-2</v>
      </c>
      <c r="AD48" s="348">
        <f t="shared" si="1"/>
        <v>4.2000000000000003E-2</v>
      </c>
      <c r="AE48" s="348">
        <f t="shared" si="1"/>
        <v>4.2000000000000003E-2</v>
      </c>
      <c r="AF48" s="348">
        <f t="shared" si="1"/>
        <v>4.2000000000000003E-2</v>
      </c>
      <c r="AG48" s="348">
        <f t="shared" si="1"/>
        <v>4.2000000000000003E-2</v>
      </c>
      <c r="AH48" s="348">
        <f t="shared" si="1"/>
        <v>4.2000000000000003E-2</v>
      </c>
      <c r="AI48" s="348">
        <f t="shared" si="1"/>
        <v>4.2000000000000003E-2</v>
      </c>
      <c r="AJ48" s="348">
        <f t="shared" si="1"/>
        <v>4.2000000000000003E-2</v>
      </c>
      <c r="AK48" s="348">
        <f t="shared" si="1"/>
        <v>4.2000000000000003E-2</v>
      </c>
      <c r="AL48" s="348">
        <f t="shared" si="1"/>
        <v>4.2000000000000003E-2</v>
      </c>
      <c r="AM48" s="348">
        <f t="shared" si="1"/>
        <v>4.2000000000000003E-2</v>
      </c>
      <c r="AN48" s="348">
        <f t="shared" si="1"/>
        <v>4.2000000000000003E-2</v>
      </c>
      <c r="AO48" s="348">
        <f t="shared" si="1"/>
        <v>4.2000000000000003E-2</v>
      </c>
      <c r="AP48" s="348">
        <f t="shared" si="1"/>
        <v>4.2000000000000003E-2</v>
      </c>
    </row>
    <row r="49" spans="1:45" s="267" customFormat="1" x14ac:dyDescent="0.2">
      <c r="A49" s="268" t="s">
        <v>235</v>
      </c>
      <c r="B49" s="348">
        <f>H137</f>
        <v>0.2354789208821122</v>
      </c>
      <c r="C49" s="348">
        <f t="shared" ref="C49:AP49" si="2">I137</f>
        <v>0.28736903555916093</v>
      </c>
      <c r="D49" s="348">
        <f t="shared" si="2"/>
        <v>0.34143853505264565</v>
      </c>
      <c r="E49" s="348">
        <f t="shared" si="2"/>
        <v>0.39777895352485682</v>
      </c>
      <c r="F49" s="348">
        <f t="shared" si="2"/>
        <v>0.45648566957290093</v>
      </c>
      <c r="G49" s="348">
        <f t="shared" si="2"/>
        <v>0.51765806769496292</v>
      </c>
      <c r="H49" s="348">
        <f t="shared" si="2"/>
        <v>0.58139970653815132</v>
      </c>
      <c r="I49" s="348">
        <f t="shared" si="2"/>
        <v>0.64781849421275384</v>
      </c>
      <c r="J49" s="348">
        <f t="shared" si="2"/>
        <v>0.71702687096968964</v>
      </c>
      <c r="K49" s="348">
        <f t="shared" si="2"/>
        <v>0.78914199955041675</v>
      </c>
      <c r="L49" s="348">
        <f t="shared" si="2"/>
        <v>0.86428596353153431</v>
      </c>
      <c r="M49" s="348">
        <f t="shared" si="2"/>
        <v>0.94258597399985877</v>
      </c>
      <c r="N49" s="348">
        <f t="shared" si="2"/>
        <v>1.0241745849078527</v>
      </c>
      <c r="O49" s="348">
        <f t="shared" si="2"/>
        <v>1.1091899174739828</v>
      </c>
      <c r="P49" s="348">
        <f t="shared" si="2"/>
        <v>1.19777589400789</v>
      </c>
      <c r="Q49" s="348">
        <f t="shared" si="2"/>
        <v>1.2900824815562215</v>
      </c>
      <c r="R49" s="348">
        <f t="shared" si="2"/>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2"/>
        <v>3.8025297725422709</v>
      </c>
      <c r="AJ49" s="348">
        <f t="shared" si="2"/>
        <v>4.0042360229890468</v>
      </c>
      <c r="AK49" s="348">
        <f t="shared" si="2"/>
        <v>4.2144139359545871</v>
      </c>
      <c r="AL49" s="348">
        <f t="shared" si="2"/>
        <v>4.4334193212646804</v>
      </c>
      <c r="AM49" s="348">
        <f t="shared" si="2"/>
        <v>4.6616229327577976</v>
      </c>
      <c r="AN49" s="348">
        <f t="shared" si="2"/>
        <v>4.8994110959336252</v>
      </c>
      <c r="AO49" s="348">
        <f t="shared" si="2"/>
        <v>5.147186361962838</v>
      </c>
      <c r="AP49" s="348">
        <f t="shared" si="2"/>
        <v>5.4053681891652774</v>
      </c>
    </row>
    <row r="50" spans="1:45" s="267" customFormat="1" ht="16.5" thickBot="1" x14ac:dyDescent="0.25">
      <c r="A50" s="269" t="s">
        <v>393</v>
      </c>
      <c r="B50" s="270">
        <f>IF($B$124="да",($B$126-0.05),0)</f>
        <v>6043989.9500000002</v>
      </c>
      <c r="C50" s="270">
        <f>C108*(1+C49)</f>
        <v>0</v>
      </c>
      <c r="D50" s="270">
        <f t="shared" ref="D50:AP50" si="3">D108*(1+D49)</f>
        <v>0</v>
      </c>
      <c r="E50" s="270">
        <f t="shared" si="3"/>
        <v>0</v>
      </c>
      <c r="F50" s="270">
        <f t="shared" si="3"/>
        <v>0</v>
      </c>
      <c r="G50" s="270">
        <f t="shared" si="3"/>
        <v>0</v>
      </c>
      <c r="H50" s="270">
        <f t="shared" si="3"/>
        <v>0</v>
      </c>
      <c r="I50" s="270">
        <f t="shared" si="3"/>
        <v>0</v>
      </c>
      <c r="J50" s="270">
        <f t="shared" si="3"/>
        <v>0</v>
      </c>
      <c r="K50" s="270">
        <f t="shared" si="3"/>
        <v>0</v>
      </c>
      <c r="L50" s="270">
        <f t="shared" si="3"/>
        <v>0</v>
      </c>
      <c r="M50" s="270">
        <f t="shared" si="3"/>
        <v>0</v>
      </c>
      <c r="N50" s="270">
        <f t="shared" si="3"/>
        <v>0</v>
      </c>
      <c r="O50" s="270">
        <f t="shared" si="3"/>
        <v>0</v>
      </c>
      <c r="P50" s="270">
        <f t="shared" si="3"/>
        <v>0</v>
      </c>
      <c r="Q50" s="270">
        <f t="shared" si="3"/>
        <v>0</v>
      </c>
      <c r="R50" s="270">
        <f t="shared" si="3"/>
        <v>0</v>
      </c>
      <c r="S50" s="270">
        <f t="shared" si="3"/>
        <v>0</v>
      </c>
      <c r="T50" s="270">
        <f t="shared" si="3"/>
        <v>0</v>
      </c>
      <c r="U50" s="270">
        <f t="shared" si="3"/>
        <v>0</v>
      </c>
      <c r="V50" s="270">
        <f t="shared" si="3"/>
        <v>0</v>
      </c>
      <c r="W50" s="270">
        <f t="shared" si="3"/>
        <v>0</v>
      </c>
      <c r="X50" s="270">
        <f t="shared" si="3"/>
        <v>0</v>
      </c>
      <c r="Y50" s="270">
        <f t="shared" si="3"/>
        <v>0</v>
      </c>
      <c r="Z50" s="270">
        <f t="shared" si="3"/>
        <v>0</v>
      </c>
      <c r="AA50" s="270">
        <f t="shared" si="3"/>
        <v>0</v>
      </c>
      <c r="AB50" s="270">
        <f t="shared" si="3"/>
        <v>0</v>
      </c>
      <c r="AC50" s="270">
        <f t="shared" si="3"/>
        <v>0</v>
      </c>
      <c r="AD50" s="270">
        <f t="shared" si="3"/>
        <v>0</v>
      </c>
      <c r="AE50" s="270">
        <f t="shared" si="3"/>
        <v>0</v>
      </c>
      <c r="AF50" s="270">
        <f t="shared" si="3"/>
        <v>0</v>
      </c>
      <c r="AG50" s="270">
        <f t="shared" si="3"/>
        <v>0</v>
      </c>
      <c r="AH50" s="270">
        <f t="shared" si="3"/>
        <v>0</v>
      </c>
      <c r="AI50" s="270">
        <f t="shared" si="3"/>
        <v>0</v>
      </c>
      <c r="AJ50" s="270">
        <f t="shared" si="3"/>
        <v>0</v>
      </c>
      <c r="AK50" s="270">
        <f t="shared" si="3"/>
        <v>0</v>
      </c>
      <c r="AL50" s="270">
        <f t="shared" si="3"/>
        <v>0</v>
      </c>
      <c r="AM50" s="270">
        <f t="shared" si="3"/>
        <v>0</v>
      </c>
      <c r="AN50" s="270">
        <f t="shared" si="3"/>
        <v>0</v>
      </c>
      <c r="AO50" s="270">
        <f t="shared" si="3"/>
        <v>0</v>
      </c>
      <c r="AP50" s="270">
        <f t="shared" si="3"/>
        <v>0</v>
      </c>
    </row>
    <row r="51" spans="1:45" ht="16.5" thickBot="1" x14ac:dyDescent="0.25"/>
    <row r="52" spans="1:45" x14ac:dyDescent="0.2">
      <c r="A52" s="271"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2" t="s">
        <v>233</v>
      </c>
      <c r="B53" s="349">
        <v>0</v>
      </c>
      <c r="C53" s="349">
        <f t="shared" ref="C53:AP53" si="5">B53+B54-B55</f>
        <v>0</v>
      </c>
      <c r="D53" s="349">
        <f t="shared" si="5"/>
        <v>0</v>
      </c>
      <c r="E53" s="349">
        <f t="shared" si="5"/>
        <v>0</v>
      </c>
      <c r="F53" s="349">
        <f t="shared" si="5"/>
        <v>0</v>
      </c>
      <c r="G53" s="349">
        <f t="shared" si="5"/>
        <v>0</v>
      </c>
      <c r="H53" s="349">
        <f t="shared" si="5"/>
        <v>0</v>
      </c>
      <c r="I53" s="349">
        <f t="shared" si="5"/>
        <v>0</v>
      </c>
      <c r="J53" s="349">
        <f t="shared" si="5"/>
        <v>0</v>
      </c>
      <c r="K53" s="349">
        <f t="shared" si="5"/>
        <v>0</v>
      </c>
      <c r="L53" s="349">
        <f t="shared" si="5"/>
        <v>0</v>
      </c>
      <c r="M53" s="349">
        <f t="shared" si="5"/>
        <v>0</v>
      </c>
      <c r="N53" s="349">
        <f t="shared" si="5"/>
        <v>0</v>
      </c>
      <c r="O53" s="349">
        <f t="shared" si="5"/>
        <v>0</v>
      </c>
      <c r="P53" s="349">
        <f t="shared" si="5"/>
        <v>0</v>
      </c>
      <c r="Q53" s="349">
        <f t="shared" si="5"/>
        <v>0</v>
      </c>
      <c r="R53" s="349">
        <f t="shared" si="5"/>
        <v>0</v>
      </c>
      <c r="S53" s="349">
        <f t="shared" si="5"/>
        <v>0</v>
      </c>
      <c r="T53" s="349">
        <f t="shared" si="5"/>
        <v>0</v>
      </c>
      <c r="U53" s="349">
        <f t="shared" si="5"/>
        <v>0</v>
      </c>
      <c r="V53" s="349">
        <f t="shared" si="5"/>
        <v>0</v>
      </c>
      <c r="W53" s="349">
        <f t="shared" si="5"/>
        <v>0</v>
      </c>
      <c r="X53" s="349">
        <f t="shared" si="5"/>
        <v>0</v>
      </c>
      <c r="Y53" s="349">
        <f t="shared" si="5"/>
        <v>0</v>
      </c>
      <c r="Z53" s="349">
        <f t="shared" si="5"/>
        <v>0</v>
      </c>
      <c r="AA53" s="349">
        <f t="shared" si="5"/>
        <v>0</v>
      </c>
      <c r="AB53" s="349">
        <f t="shared" si="5"/>
        <v>0</v>
      </c>
      <c r="AC53" s="349">
        <f t="shared" si="5"/>
        <v>0</v>
      </c>
      <c r="AD53" s="349">
        <f t="shared" si="5"/>
        <v>0</v>
      </c>
      <c r="AE53" s="349">
        <f t="shared" si="5"/>
        <v>0</v>
      </c>
      <c r="AF53" s="349">
        <f t="shared" si="5"/>
        <v>0</v>
      </c>
      <c r="AG53" s="349">
        <f t="shared" si="5"/>
        <v>0</v>
      </c>
      <c r="AH53" s="349">
        <f t="shared" si="5"/>
        <v>0</v>
      </c>
      <c r="AI53" s="349">
        <f t="shared" si="5"/>
        <v>0</v>
      </c>
      <c r="AJ53" s="349">
        <f t="shared" si="5"/>
        <v>0</v>
      </c>
      <c r="AK53" s="349">
        <f t="shared" si="5"/>
        <v>0</v>
      </c>
      <c r="AL53" s="349">
        <f t="shared" si="5"/>
        <v>0</v>
      </c>
      <c r="AM53" s="349">
        <f t="shared" si="5"/>
        <v>0</v>
      </c>
      <c r="AN53" s="349">
        <f t="shared" si="5"/>
        <v>0</v>
      </c>
      <c r="AO53" s="349">
        <f t="shared" si="5"/>
        <v>0</v>
      </c>
      <c r="AP53" s="349">
        <f t="shared" si="5"/>
        <v>0</v>
      </c>
    </row>
    <row r="54" spans="1:45" x14ac:dyDescent="0.2">
      <c r="A54" s="272" t="s">
        <v>232</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272" t="s">
        <v>231</v>
      </c>
      <c r="B55" s="349">
        <f>$B$54/$B$40</f>
        <v>0</v>
      </c>
      <c r="C55" s="349">
        <f t="shared" ref="C55:AP55" si="6">IF(ROUND(C53,1)=0,0,B55+C54/$B$40)</f>
        <v>0</v>
      </c>
      <c r="D55" s="349">
        <f t="shared" si="6"/>
        <v>0</v>
      </c>
      <c r="E55" s="349">
        <f t="shared" si="6"/>
        <v>0</v>
      </c>
      <c r="F55" s="349">
        <f t="shared" si="6"/>
        <v>0</v>
      </c>
      <c r="G55" s="349">
        <f t="shared" si="6"/>
        <v>0</v>
      </c>
      <c r="H55" s="349">
        <f t="shared" si="6"/>
        <v>0</v>
      </c>
      <c r="I55" s="349">
        <f t="shared" si="6"/>
        <v>0</v>
      </c>
      <c r="J55" s="349">
        <f t="shared" si="6"/>
        <v>0</v>
      </c>
      <c r="K55" s="349">
        <f t="shared" si="6"/>
        <v>0</v>
      </c>
      <c r="L55" s="349">
        <f t="shared" si="6"/>
        <v>0</v>
      </c>
      <c r="M55" s="349">
        <f t="shared" si="6"/>
        <v>0</v>
      </c>
      <c r="N55" s="349">
        <f t="shared" si="6"/>
        <v>0</v>
      </c>
      <c r="O55" s="349">
        <f t="shared" si="6"/>
        <v>0</v>
      </c>
      <c r="P55" s="349">
        <f t="shared" si="6"/>
        <v>0</v>
      </c>
      <c r="Q55" s="349">
        <f t="shared" si="6"/>
        <v>0</v>
      </c>
      <c r="R55" s="349">
        <f t="shared" si="6"/>
        <v>0</v>
      </c>
      <c r="S55" s="349">
        <f t="shared" si="6"/>
        <v>0</v>
      </c>
      <c r="T55" s="349">
        <f t="shared" si="6"/>
        <v>0</v>
      </c>
      <c r="U55" s="349">
        <f t="shared" si="6"/>
        <v>0</v>
      </c>
      <c r="V55" s="349">
        <f t="shared" si="6"/>
        <v>0</v>
      </c>
      <c r="W55" s="349">
        <f t="shared" si="6"/>
        <v>0</v>
      </c>
      <c r="X55" s="349">
        <f t="shared" si="6"/>
        <v>0</v>
      </c>
      <c r="Y55" s="349">
        <f t="shared" si="6"/>
        <v>0</v>
      </c>
      <c r="Z55" s="349">
        <f t="shared" si="6"/>
        <v>0</v>
      </c>
      <c r="AA55" s="349">
        <f t="shared" si="6"/>
        <v>0</v>
      </c>
      <c r="AB55" s="349">
        <f t="shared" si="6"/>
        <v>0</v>
      </c>
      <c r="AC55" s="349">
        <f t="shared" si="6"/>
        <v>0</v>
      </c>
      <c r="AD55" s="349">
        <f t="shared" si="6"/>
        <v>0</v>
      </c>
      <c r="AE55" s="349">
        <f t="shared" si="6"/>
        <v>0</v>
      </c>
      <c r="AF55" s="349">
        <f t="shared" si="6"/>
        <v>0</v>
      </c>
      <c r="AG55" s="349">
        <f t="shared" si="6"/>
        <v>0</v>
      </c>
      <c r="AH55" s="349">
        <f t="shared" si="6"/>
        <v>0</v>
      </c>
      <c r="AI55" s="349">
        <f t="shared" si="6"/>
        <v>0</v>
      </c>
      <c r="AJ55" s="349">
        <f t="shared" si="6"/>
        <v>0</v>
      </c>
      <c r="AK55" s="349">
        <f t="shared" si="6"/>
        <v>0</v>
      </c>
      <c r="AL55" s="349">
        <f t="shared" si="6"/>
        <v>0</v>
      </c>
      <c r="AM55" s="349">
        <f t="shared" si="6"/>
        <v>0</v>
      </c>
      <c r="AN55" s="349">
        <f t="shared" si="6"/>
        <v>0</v>
      </c>
      <c r="AO55" s="349">
        <f t="shared" si="6"/>
        <v>0</v>
      </c>
      <c r="AP55" s="349">
        <f t="shared" si="6"/>
        <v>0</v>
      </c>
    </row>
    <row r="56" spans="1:45" ht="16.5" thickBot="1" x14ac:dyDescent="0.25">
      <c r="A56" s="273"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6" customFormat="1" ht="16.5" thickBot="1" x14ac:dyDescent="0.25">
      <c r="A57" s="274"/>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25"/>
      <c r="AR57" s="225"/>
      <c r="AS57" s="225"/>
    </row>
    <row r="58" spans="1:45" x14ac:dyDescent="0.2">
      <c r="A58" s="271"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7" t="s">
        <v>229</v>
      </c>
      <c r="B59" s="350">
        <f t="shared" ref="B59:AP59" si="9">B50*$B$28</f>
        <v>6043989.9500000002</v>
      </c>
      <c r="C59" s="350">
        <f t="shared" si="9"/>
        <v>0</v>
      </c>
      <c r="D59" s="350">
        <f t="shared" si="9"/>
        <v>0</v>
      </c>
      <c r="E59" s="350">
        <f t="shared" si="9"/>
        <v>0</v>
      </c>
      <c r="F59" s="350">
        <f t="shared" si="9"/>
        <v>0</v>
      </c>
      <c r="G59" s="350">
        <f t="shared" si="9"/>
        <v>0</v>
      </c>
      <c r="H59" s="350">
        <f t="shared" si="9"/>
        <v>0</v>
      </c>
      <c r="I59" s="350">
        <f t="shared" si="9"/>
        <v>0</v>
      </c>
      <c r="J59" s="350">
        <f t="shared" si="9"/>
        <v>0</v>
      </c>
      <c r="K59" s="350">
        <f t="shared" si="9"/>
        <v>0</v>
      </c>
      <c r="L59" s="350">
        <f t="shared" si="9"/>
        <v>0</v>
      </c>
      <c r="M59" s="350">
        <f t="shared" si="9"/>
        <v>0</v>
      </c>
      <c r="N59" s="350">
        <f t="shared" si="9"/>
        <v>0</v>
      </c>
      <c r="O59" s="350">
        <f t="shared" si="9"/>
        <v>0</v>
      </c>
      <c r="P59" s="350">
        <f t="shared" si="9"/>
        <v>0</v>
      </c>
      <c r="Q59" s="350">
        <f t="shared" si="9"/>
        <v>0</v>
      </c>
      <c r="R59" s="350">
        <f t="shared" si="9"/>
        <v>0</v>
      </c>
      <c r="S59" s="350">
        <f t="shared" si="9"/>
        <v>0</v>
      </c>
      <c r="T59" s="350">
        <f t="shared" si="9"/>
        <v>0</v>
      </c>
      <c r="U59" s="350">
        <f t="shared" si="9"/>
        <v>0</v>
      </c>
      <c r="V59" s="350">
        <f t="shared" si="9"/>
        <v>0</v>
      </c>
      <c r="W59" s="350">
        <f t="shared" si="9"/>
        <v>0</v>
      </c>
      <c r="X59" s="350">
        <f t="shared" si="9"/>
        <v>0</v>
      </c>
      <c r="Y59" s="350">
        <f t="shared" si="9"/>
        <v>0</v>
      </c>
      <c r="Z59" s="350">
        <f t="shared" si="9"/>
        <v>0</v>
      </c>
      <c r="AA59" s="350">
        <f t="shared" si="9"/>
        <v>0</v>
      </c>
      <c r="AB59" s="350">
        <f t="shared" si="9"/>
        <v>0</v>
      </c>
      <c r="AC59" s="350">
        <f t="shared" si="9"/>
        <v>0</v>
      </c>
      <c r="AD59" s="350">
        <f t="shared" si="9"/>
        <v>0</v>
      </c>
      <c r="AE59" s="350">
        <f t="shared" si="9"/>
        <v>0</v>
      </c>
      <c r="AF59" s="350">
        <f t="shared" si="9"/>
        <v>0</v>
      </c>
      <c r="AG59" s="350">
        <f t="shared" si="9"/>
        <v>0</v>
      </c>
      <c r="AH59" s="350">
        <f t="shared" si="9"/>
        <v>0</v>
      </c>
      <c r="AI59" s="350">
        <f t="shared" si="9"/>
        <v>0</v>
      </c>
      <c r="AJ59" s="350">
        <f t="shared" si="9"/>
        <v>0</v>
      </c>
      <c r="AK59" s="350">
        <f t="shared" si="9"/>
        <v>0</v>
      </c>
      <c r="AL59" s="350">
        <f t="shared" si="9"/>
        <v>0</v>
      </c>
      <c r="AM59" s="350">
        <f t="shared" si="9"/>
        <v>0</v>
      </c>
      <c r="AN59" s="350">
        <f t="shared" si="9"/>
        <v>0</v>
      </c>
      <c r="AO59" s="350">
        <f t="shared" si="9"/>
        <v>0</v>
      </c>
      <c r="AP59" s="350">
        <f t="shared" si="9"/>
        <v>0</v>
      </c>
    </row>
    <row r="60" spans="1:45" x14ac:dyDescent="0.2">
      <c r="A60" s="272" t="s">
        <v>228</v>
      </c>
      <c r="B60" s="349">
        <f t="shared" ref="B60:Z60" si="10">SUM(B61:B65)</f>
        <v>0</v>
      </c>
      <c r="C60" s="349">
        <f t="shared" si="10"/>
        <v>-233425.36731687636</v>
      </c>
      <c r="D60" s="349">
        <f>SUM(D61:D65)</f>
        <v>-243229.23274418517</v>
      </c>
      <c r="E60" s="349">
        <f t="shared" si="10"/>
        <v>-253444.86051944096</v>
      </c>
      <c r="F60" s="349">
        <f t="shared" si="10"/>
        <v>-264089.54466125747</v>
      </c>
      <c r="G60" s="349">
        <f t="shared" si="10"/>
        <v>-275181.30553703033</v>
      </c>
      <c r="H60" s="349">
        <f t="shared" si="10"/>
        <v>-286738.92036958563</v>
      </c>
      <c r="I60" s="349">
        <f t="shared" si="10"/>
        <v>-298781.95502510824</v>
      </c>
      <c r="J60" s="349">
        <f t="shared" si="10"/>
        <v>-311330.79713616282</v>
      </c>
      <c r="K60" s="349">
        <f t="shared" si="10"/>
        <v>-324406.69061588164</v>
      </c>
      <c r="L60" s="349">
        <f t="shared" si="10"/>
        <v>-338031.77162174869</v>
      </c>
      <c r="M60" s="349">
        <f t="shared" si="10"/>
        <v>-352229.10602986213</v>
      </c>
      <c r="N60" s="349">
        <f t="shared" si="10"/>
        <v>-367022.72848311637</v>
      </c>
      <c r="O60" s="349">
        <f t="shared" si="10"/>
        <v>-382437.68307940726</v>
      </c>
      <c r="P60" s="349">
        <f t="shared" si="10"/>
        <v>-398500.06576874235</v>
      </c>
      <c r="Q60" s="349">
        <f t="shared" si="10"/>
        <v>-415237.06853102957</v>
      </c>
      <c r="R60" s="349">
        <f t="shared" si="10"/>
        <v>-432677.02540933277</v>
      </c>
      <c r="S60" s="349">
        <f t="shared" si="10"/>
        <v>-450849.46047652478</v>
      </c>
      <c r="T60" s="349">
        <f t="shared" si="10"/>
        <v>-469785.13781653886</v>
      </c>
      <c r="U60" s="349">
        <f t="shared" si="10"/>
        <v>-489516.11360483355</v>
      </c>
      <c r="V60" s="349">
        <f t="shared" si="10"/>
        <v>-510075.79037623655</v>
      </c>
      <c r="W60" s="349">
        <f t="shared" si="10"/>
        <v>-531498.97357203846</v>
      </c>
      <c r="X60" s="349">
        <f t="shared" si="10"/>
        <v>-553821.93046206411</v>
      </c>
      <c r="Y60" s="349">
        <f t="shared" si="10"/>
        <v>-577082.45154147083</v>
      </c>
      <c r="Z60" s="349">
        <f t="shared" si="10"/>
        <v>-601319.91450621269</v>
      </c>
      <c r="AA60" s="349">
        <f t="shared" ref="AA60:AP60" si="11">SUM(AA61:AA65)</f>
        <v>-626575.35091547365</v>
      </c>
      <c r="AB60" s="349">
        <f t="shared" si="11"/>
        <v>-652891.51565392362</v>
      </c>
      <c r="AC60" s="349">
        <f t="shared" si="11"/>
        <v>-680312.95931138843</v>
      </c>
      <c r="AD60" s="349">
        <f t="shared" si="11"/>
        <v>-708886.10360246687</v>
      </c>
      <c r="AE60" s="349">
        <f t="shared" si="11"/>
        <v>-738659.31995377038</v>
      </c>
      <c r="AF60" s="349">
        <f t="shared" si="11"/>
        <v>-769683.01139182877</v>
      </c>
      <c r="AG60" s="349">
        <f t="shared" si="11"/>
        <v>-802009.6978702856</v>
      </c>
      <c r="AH60" s="349">
        <f t="shared" si="11"/>
        <v>-835694.10518083756</v>
      </c>
      <c r="AI60" s="349">
        <f t="shared" si="11"/>
        <v>-870793.25759843271</v>
      </c>
      <c r="AJ60" s="349">
        <f t="shared" si="11"/>
        <v>-907366.574417567</v>
      </c>
      <c r="AK60" s="349">
        <f t="shared" si="11"/>
        <v>-945475.97054310481</v>
      </c>
      <c r="AL60" s="349">
        <f t="shared" si="11"/>
        <v>-985185.96130591538</v>
      </c>
      <c r="AM60" s="349">
        <f t="shared" si="11"/>
        <v>-1026563.7716807639</v>
      </c>
      <c r="AN60" s="349">
        <f t="shared" si="11"/>
        <v>-1069679.4500913559</v>
      </c>
      <c r="AO60" s="349">
        <f t="shared" si="11"/>
        <v>-1114605.9869951932</v>
      </c>
      <c r="AP60" s="349">
        <f t="shared" si="11"/>
        <v>-1161419.4384489912</v>
      </c>
    </row>
    <row r="61" spans="1:45" x14ac:dyDescent="0.2">
      <c r="A61" s="122" t="s">
        <v>227</v>
      </c>
      <c r="B61" s="349"/>
      <c r="C61" s="349">
        <f>-IF(C$47&lt;=$B$30,0,$B$29*(1+C$49)*$B$28)</f>
        <v>-233425.36731687636</v>
      </c>
      <c r="D61" s="349">
        <f>-IF(D$47&lt;=$B$30,0,$B$29*(1+D$49)*$B$28)</f>
        <v>-243229.23274418517</v>
      </c>
      <c r="E61" s="349">
        <f t="shared" ref="E61:AP61" si="12">-IF(E$47&lt;=$B$30,0,$B$29*(1+E$49)*$B$28)</f>
        <v>-253444.86051944096</v>
      </c>
      <c r="F61" s="349">
        <f t="shared" si="12"/>
        <v>-264089.54466125747</v>
      </c>
      <c r="G61" s="349">
        <f t="shared" si="12"/>
        <v>-275181.30553703033</v>
      </c>
      <c r="H61" s="349">
        <f t="shared" si="12"/>
        <v>-286738.92036958563</v>
      </c>
      <c r="I61" s="349">
        <f t="shared" si="12"/>
        <v>-298781.95502510824</v>
      </c>
      <c r="J61" s="349">
        <f t="shared" si="12"/>
        <v>-311330.79713616282</v>
      </c>
      <c r="K61" s="349">
        <f t="shared" si="12"/>
        <v>-324406.69061588164</v>
      </c>
      <c r="L61" s="349">
        <f t="shared" si="12"/>
        <v>-338031.77162174869</v>
      </c>
      <c r="M61" s="349">
        <f t="shared" si="12"/>
        <v>-352229.10602986213</v>
      </c>
      <c r="N61" s="349">
        <f t="shared" si="12"/>
        <v>-367022.72848311637</v>
      </c>
      <c r="O61" s="349">
        <f t="shared" si="12"/>
        <v>-382437.68307940726</v>
      </c>
      <c r="P61" s="349">
        <f t="shared" si="12"/>
        <v>-398500.06576874235</v>
      </c>
      <c r="Q61" s="349">
        <f t="shared" si="12"/>
        <v>-415237.06853102957</v>
      </c>
      <c r="R61" s="349">
        <f t="shared" si="12"/>
        <v>-432677.02540933277</v>
      </c>
      <c r="S61" s="349">
        <f t="shared" si="12"/>
        <v>-450849.46047652478</v>
      </c>
      <c r="T61" s="349">
        <f t="shared" si="12"/>
        <v>-469785.13781653886</v>
      </c>
      <c r="U61" s="349">
        <f t="shared" si="12"/>
        <v>-489516.11360483355</v>
      </c>
      <c r="V61" s="349">
        <f t="shared" si="12"/>
        <v>-510075.79037623655</v>
      </c>
      <c r="W61" s="349">
        <f t="shared" si="12"/>
        <v>-531498.97357203846</v>
      </c>
      <c r="X61" s="349">
        <f t="shared" si="12"/>
        <v>-553821.93046206411</v>
      </c>
      <c r="Y61" s="349">
        <f t="shared" si="12"/>
        <v>-577082.45154147083</v>
      </c>
      <c r="Z61" s="349">
        <f t="shared" si="12"/>
        <v>-601319.91450621269</v>
      </c>
      <c r="AA61" s="349">
        <f t="shared" si="12"/>
        <v>-626575.35091547365</v>
      </c>
      <c r="AB61" s="349">
        <f t="shared" si="12"/>
        <v>-652891.51565392362</v>
      </c>
      <c r="AC61" s="349">
        <f t="shared" si="12"/>
        <v>-680312.95931138843</v>
      </c>
      <c r="AD61" s="349">
        <f t="shared" si="12"/>
        <v>-708886.10360246687</v>
      </c>
      <c r="AE61" s="349">
        <f t="shared" si="12"/>
        <v>-738659.31995377038</v>
      </c>
      <c r="AF61" s="349">
        <f t="shared" si="12"/>
        <v>-769683.01139182877</v>
      </c>
      <c r="AG61" s="349">
        <f t="shared" si="12"/>
        <v>-802009.6978702856</v>
      </c>
      <c r="AH61" s="349">
        <f t="shared" si="12"/>
        <v>-835694.10518083756</v>
      </c>
      <c r="AI61" s="349">
        <f t="shared" si="12"/>
        <v>-870793.25759843271</v>
      </c>
      <c r="AJ61" s="349">
        <f t="shared" si="12"/>
        <v>-907366.574417567</v>
      </c>
      <c r="AK61" s="349">
        <f t="shared" si="12"/>
        <v>-945475.97054310481</v>
      </c>
      <c r="AL61" s="349">
        <f t="shared" si="12"/>
        <v>-985185.96130591538</v>
      </c>
      <c r="AM61" s="349">
        <f t="shared" si="12"/>
        <v>-1026563.7716807639</v>
      </c>
      <c r="AN61" s="349">
        <f t="shared" si="12"/>
        <v>-1069679.4500913559</v>
      </c>
      <c r="AO61" s="349">
        <f t="shared" si="12"/>
        <v>-1114605.9869951932</v>
      </c>
      <c r="AP61" s="349">
        <f t="shared" si="12"/>
        <v>-1161419.4384489912</v>
      </c>
    </row>
    <row r="62" spans="1:45" x14ac:dyDescent="0.2">
      <c r="A62" s="122"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122" t="s">
        <v>389</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122" t="s">
        <v>389</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122" t="s">
        <v>544</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278" t="s">
        <v>545</v>
      </c>
      <c r="B66" s="350">
        <f t="shared" ref="B66:AO66" si="13">B59+B60</f>
        <v>6043989.9500000002</v>
      </c>
      <c r="C66" s="350">
        <f t="shared" si="13"/>
        <v>-233425.36731687636</v>
      </c>
      <c r="D66" s="350">
        <f t="shared" si="13"/>
        <v>-243229.23274418517</v>
      </c>
      <c r="E66" s="350">
        <f t="shared" si="13"/>
        <v>-253444.86051944096</v>
      </c>
      <c r="F66" s="350">
        <f t="shared" si="13"/>
        <v>-264089.54466125747</v>
      </c>
      <c r="G66" s="350">
        <f t="shared" si="13"/>
        <v>-275181.30553703033</v>
      </c>
      <c r="H66" s="350">
        <f t="shared" si="13"/>
        <v>-286738.92036958563</v>
      </c>
      <c r="I66" s="350">
        <f t="shared" si="13"/>
        <v>-298781.95502510824</v>
      </c>
      <c r="J66" s="350">
        <f t="shared" si="13"/>
        <v>-311330.79713616282</v>
      </c>
      <c r="K66" s="350">
        <f t="shared" si="13"/>
        <v>-324406.69061588164</v>
      </c>
      <c r="L66" s="350">
        <f t="shared" si="13"/>
        <v>-338031.77162174869</v>
      </c>
      <c r="M66" s="350">
        <f t="shared" si="13"/>
        <v>-352229.10602986213</v>
      </c>
      <c r="N66" s="350">
        <f t="shared" si="13"/>
        <v>-367022.72848311637</v>
      </c>
      <c r="O66" s="350">
        <f t="shared" si="13"/>
        <v>-382437.68307940726</v>
      </c>
      <c r="P66" s="350">
        <f t="shared" si="13"/>
        <v>-398500.06576874235</v>
      </c>
      <c r="Q66" s="350">
        <f t="shared" si="13"/>
        <v>-415237.06853102957</v>
      </c>
      <c r="R66" s="350">
        <f t="shared" si="13"/>
        <v>-432677.02540933277</v>
      </c>
      <c r="S66" s="350">
        <f t="shared" si="13"/>
        <v>-450849.46047652478</v>
      </c>
      <c r="T66" s="350">
        <f t="shared" si="13"/>
        <v>-469785.13781653886</v>
      </c>
      <c r="U66" s="350">
        <f t="shared" si="13"/>
        <v>-489516.11360483355</v>
      </c>
      <c r="V66" s="350">
        <f t="shared" si="13"/>
        <v>-510075.79037623655</v>
      </c>
      <c r="W66" s="350">
        <f t="shared" si="13"/>
        <v>-531498.97357203846</v>
      </c>
      <c r="X66" s="350">
        <f t="shared" si="13"/>
        <v>-553821.93046206411</v>
      </c>
      <c r="Y66" s="350">
        <f t="shared" si="13"/>
        <v>-577082.45154147083</v>
      </c>
      <c r="Z66" s="350">
        <f t="shared" si="13"/>
        <v>-601319.91450621269</v>
      </c>
      <c r="AA66" s="350">
        <f t="shared" si="13"/>
        <v>-626575.35091547365</v>
      </c>
      <c r="AB66" s="350">
        <f t="shared" si="13"/>
        <v>-652891.51565392362</v>
      </c>
      <c r="AC66" s="350">
        <f t="shared" si="13"/>
        <v>-680312.95931138843</v>
      </c>
      <c r="AD66" s="350">
        <f t="shared" si="13"/>
        <v>-708886.10360246687</v>
      </c>
      <c r="AE66" s="350">
        <f t="shared" si="13"/>
        <v>-738659.31995377038</v>
      </c>
      <c r="AF66" s="350">
        <f t="shared" si="13"/>
        <v>-769683.01139182877</v>
      </c>
      <c r="AG66" s="350">
        <f t="shared" si="13"/>
        <v>-802009.6978702856</v>
      </c>
      <c r="AH66" s="350">
        <f t="shared" si="13"/>
        <v>-835694.10518083756</v>
      </c>
      <c r="AI66" s="350">
        <f t="shared" si="13"/>
        <v>-870793.25759843271</v>
      </c>
      <c r="AJ66" s="350">
        <f t="shared" si="13"/>
        <v>-907366.574417567</v>
      </c>
      <c r="AK66" s="350">
        <f t="shared" si="13"/>
        <v>-945475.97054310481</v>
      </c>
      <c r="AL66" s="350">
        <f t="shared" si="13"/>
        <v>-985185.96130591538</v>
      </c>
      <c r="AM66" s="350">
        <f t="shared" si="13"/>
        <v>-1026563.7716807639</v>
      </c>
      <c r="AN66" s="350">
        <f t="shared" si="13"/>
        <v>-1069679.4500913559</v>
      </c>
      <c r="AO66" s="350">
        <f t="shared" si="13"/>
        <v>-1114605.9869951932</v>
      </c>
      <c r="AP66" s="350">
        <f>AP59+AP60</f>
        <v>-1161419.4384489912</v>
      </c>
    </row>
    <row r="67" spans="1:45" x14ac:dyDescent="0.2">
      <c r="A67" s="122" t="s">
        <v>222</v>
      </c>
      <c r="B67" s="118"/>
      <c r="C67" s="349">
        <f>-($B$25)*1.18*$B$28/$B$27</f>
        <v>-198108.56111111114</v>
      </c>
      <c r="D67" s="349">
        <f>C67</f>
        <v>-198108.56111111114</v>
      </c>
      <c r="E67" s="349">
        <f t="shared" ref="E67:AP67" si="14">D67</f>
        <v>-198108.56111111114</v>
      </c>
      <c r="F67" s="349">
        <f t="shared" si="14"/>
        <v>-198108.56111111114</v>
      </c>
      <c r="G67" s="349">
        <f t="shared" si="14"/>
        <v>-198108.56111111114</v>
      </c>
      <c r="H67" s="349">
        <f t="shared" si="14"/>
        <v>-198108.56111111114</v>
      </c>
      <c r="I67" s="349">
        <f t="shared" si="14"/>
        <v>-198108.56111111114</v>
      </c>
      <c r="J67" s="349">
        <f t="shared" si="14"/>
        <v>-198108.56111111114</v>
      </c>
      <c r="K67" s="349">
        <f t="shared" si="14"/>
        <v>-198108.56111111114</v>
      </c>
      <c r="L67" s="349">
        <f t="shared" si="14"/>
        <v>-198108.56111111114</v>
      </c>
      <c r="M67" s="349">
        <f t="shared" si="14"/>
        <v>-198108.56111111114</v>
      </c>
      <c r="N67" s="349">
        <f t="shared" si="14"/>
        <v>-198108.56111111114</v>
      </c>
      <c r="O67" s="349">
        <f t="shared" si="14"/>
        <v>-198108.56111111114</v>
      </c>
      <c r="P67" s="349">
        <f t="shared" si="14"/>
        <v>-198108.56111111114</v>
      </c>
      <c r="Q67" s="349">
        <f t="shared" si="14"/>
        <v>-198108.56111111114</v>
      </c>
      <c r="R67" s="349">
        <f t="shared" si="14"/>
        <v>-198108.56111111114</v>
      </c>
      <c r="S67" s="349">
        <f t="shared" si="14"/>
        <v>-198108.56111111114</v>
      </c>
      <c r="T67" s="349">
        <f t="shared" si="14"/>
        <v>-198108.56111111114</v>
      </c>
      <c r="U67" s="349">
        <f t="shared" si="14"/>
        <v>-198108.56111111114</v>
      </c>
      <c r="V67" s="349">
        <f t="shared" si="14"/>
        <v>-198108.56111111114</v>
      </c>
      <c r="W67" s="349">
        <f t="shared" si="14"/>
        <v>-198108.56111111114</v>
      </c>
      <c r="X67" s="349">
        <f t="shared" si="14"/>
        <v>-198108.56111111114</v>
      </c>
      <c r="Y67" s="349">
        <f t="shared" si="14"/>
        <v>-198108.56111111114</v>
      </c>
      <c r="Z67" s="349">
        <f t="shared" si="14"/>
        <v>-198108.56111111114</v>
      </c>
      <c r="AA67" s="349">
        <f t="shared" si="14"/>
        <v>-198108.56111111114</v>
      </c>
      <c r="AB67" s="349">
        <f t="shared" si="14"/>
        <v>-198108.56111111114</v>
      </c>
      <c r="AC67" s="349">
        <f t="shared" si="14"/>
        <v>-198108.56111111114</v>
      </c>
      <c r="AD67" s="349">
        <f t="shared" si="14"/>
        <v>-198108.56111111114</v>
      </c>
      <c r="AE67" s="349">
        <f t="shared" si="14"/>
        <v>-198108.56111111114</v>
      </c>
      <c r="AF67" s="349">
        <f t="shared" si="14"/>
        <v>-198108.56111111114</v>
      </c>
      <c r="AG67" s="349">
        <f t="shared" si="14"/>
        <v>-198108.56111111114</v>
      </c>
      <c r="AH67" s="349">
        <f t="shared" si="14"/>
        <v>-198108.56111111114</v>
      </c>
      <c r="AI67" s="349">
        <f t="shared" si="14"/>
        <v>-198108.56111111114</v>
      </c>
      <c r="AJ67" s="349">
        <f t="shared" si="14"/>
        <v>-198108.56111111114</v>
      </c>
      <c r="AK67" s="349">
        <f t="shared" si="14"/>
        <v>-198108.56111111114</v>
      </c>
      <c r="AL67" s="349">
        <f t="shared" si="14"/>
        <v>-198108.56111111114</v>
      </c>
      <c r="AM67" s="349">
        <f t="shared" si="14"/>
        <v>-198108.56111111114</v>
      </c>
      <c r="AN67" s="349">
        <f t="shared" si="14"/>
        <v>-198108.56111111114</v>
      </c>
      <c r="AO67" s="349">
        <f t="shared" si="14"/>
        <v>-198108.56111111114</v>
      </c>
      <c r="AP67" s="349">
        <f t="shared" si="14"/>
        <v>-198108.56111111114</v>
      </c>
      <c r="AQ67" s="279">
        <f>SUM(B67:AA67)/1.18</f>
        <v>-4197215.2777777789</v>
      </c>
      <c r="AR67" s="280">
        <f>SUM(B67:AF67)/1.18</f>
        <v>-5036658.3333333349</v>
      </c>
      <c r="AS67" s="280">
        <f>SUM(B67:AP67)/1.18</f>
        <v>-6715544.4444444468</v>
      </c>
    </row>
    <row r="68" spans="1:45" ht="28.5" x14ac:dyDescent="0.2">
      <c r="A68" s="278" t="s">
        <v>546</v>
      </c>
      <c r="B68" s="350">
        <f t="shared" ref="B68:J68" si="15">B66+B67</f>
        <v>6043989.9500000002</v>
      </c>
      <c r="C68" s="350">
        <f>C66+C67</f>
        <v>-431533.9284279875</v>
      </c>
      <c r="D68" s="350">
        <f>D66+D67</f>
        <v>-441337.79385529633</v>
      </c>
      <c r="E68" s="350">
        <f t="shared" si="15"/>
        <v>-451553.4216305521</v>
      </c>
      <c r="F68" s="350">
        <f>F66+C67</f>
        <v>-462198.10577236861</v>
      </c>
      <c r="G68" s="350">
        <f t="shared" si="15"/>
        <v>-473289.86664814147</v>
      </c>
      <c r="H68" s="350">
        <f t="shared" si="15"/>
        <v>-484847.48148069676</v>
      </c>
      <c r="I68" s="350">
        <f t="shared" si="15"/>
        <v>-496890.51613621938</v>
      </c>
      <c r="J68" s="350">
        <f t="shared" si="15"/>
        <v>-509439.35824727395</v>
      </c>
      <c r="K68" s="350">
        <f>K66+K67</f>
        <v>-522515.25172699278</v>
      </c>
      <c r="L68" s="350">
        <f>L66+L67</f>
        <v>-536140.33273285977</v>
      </c>
      <c r="M68" s="350">
        <f t="shared" ref="M68:AO68" si="16">M66+M67</f>
        <v>-550337.66714097327</v>
      </c>
      <c r="N68" s="350">
        <f t="shared" si="16"/>
        <v>-565131.28959422745</v>
      </c>
      <c r="O68" s="350">
        <f t="shared" si="16"/>
        <v>-580546.2441905184</v>
      </c>
      <c r="P68" s="350">
        <f t="shared" si="16"/>
        <v>-596608.62687985343</v>
      </c>
      <c r="Q68" s="350">
        <f t="shared" si="16"/>
        <v>-613345.6296421407</v>
      </c>
      <c r="R68" s="350">
        <f t="shared" si="16"/>
        <v>-630785.5865204439</v>
      </c>
      <c r="S68" s="350">
        <f t="shared" si="16"/>
        <v>-648958.02158763586</v>
      </c>
      <c r="T68" s="350">
        <f t="shared" si="16"/>
        <v>-667893.69892765</v>
      </c>
      <c r="U68" s="350">
        <f t="shared" si="16"/>
        <v>-687624.67471594468</v>
      </c>
      <c r="V68" s="350">
        <f t="shared" si="16"/>
        <v>-708184.35148734762</v>
      </c>
      <c r="W68" s="350">
        <f t="shared" si="16"/>
        <v>-729607.53468314954</v>
      </c>
      <c r="X68" s="350">
        <f t="shared" si="16"/>
        <v>-751930.49157317518</v>
      </c>
      <c r="Y68" s="350">
        <f t="shared" si="16"/>
        <v>-775191.01265258202</v>
      </c>
      <c r="Z68" s="350">
        <f t="shared" si="16"/>
        <v>-799428.47561732377</v>
      </c>
      <c r="AA68" s="350">
        <f t="shared" si="16"/>
        <v>-824683.91202658485</v>
      </c>
      <c r="AB68" s="350">
        <f t="shared" si="16"/>
        <v>-851000.07676503481</v>
      </c>
      <c r="AC68" s="350">
        <f t="shared" si="16"/>
        <v>-878421.52042249963</v>
      </c>
      <c r="AD68" s="350">
        <f t="shared" si="16"/>
        <v>-906994.66471357807</v>
      </c>
      <c r="AE68" s="350">
        <f t="shared" si="16"/>
        <v>-936767.88106488157</v>
      </c>
      <c r="AF68" s="350">
        <f t="shared" si="16"/>
        <v>-967791.57250293996</v>
      </c>
      <c r="AG68" s="350">
        <f t="shared" si="16"/>
        <v>-1000118.2589813967</v>
      </c>
      <c r="AH68" s="350">
        <f t="shared" si="16"/>
        <v>-1033802.6662919486</v>
      </c>
      <c r="AI68" s="350">
        <f t="shared" si="16"/>
        <v>-1068901.8187095439</v>
      </c>
      <c r="AJ68" s="350">
        <f t="shared" si="16"/>
        <v>-1105475.1355286781</v>
      </c>
      <c r="AK68" s="350">
        <f t="shared" si="16"/>
        <v>-1143584.5316542159</v>
      </c>
      <c r="AL68" s="350">
        <f t="shared" si="16"/>
        <v>-1183294.5224170266</v>
      </c>
      <c r="AM68" s="350">
        <f t="shared" si="16"/>
        <v>-1224672.3327918751</v>
      </c>
      <c r="AN68" s="350">
        <f t="shared" si="16"/>
        <v>-1267788.0112024671</v>
      </c>
      <c r="AO68" s="350">
        <f t="shared" si="16"/>
        <v>-1312714.5481063044</v>
      </c>
      <c r="AP68" s="350">
        <f>AP66+AP67</f>
        <v>-1359527.9995601024</v>
      </c>
      <c r="AQ68" s="225">
        <v>25</v>
      </c>
      <c r="AR68" s="225">
        <v>30</v>
      </c>
      <c r="AS68" s="225">
        <v>40</v>
      </c>
    </row>
    <row r="69" spans="1:45" x14ac:dyDescent="0.2">
      <c r="A69" s="122" t="s">
        <v>221</v>
      </c>
      <c r="B69" s="349">
        <f t="shared" ref="B69:AO69" si="17">-B56</f>
        <v>0</v>
      </c>
      <c r="C69" s="349">
        <f t="shared" si="17"/>
        <v>0</v>
      </c>
      <c r="D69" s="349">
        <f t="shared" si="17"/>
        <v>0</v>
      </c>
      <c r="E69" s="349">
        <f t="shared" si="17"/>
        <v>0</v>
      </c>
      <c r="F69" s="349">
        <f t="shared" si="17"/>
        <v>0</v>
      </c>
      <c r="G69" s="349">
        <f t="shared" si="17"/>
        <v>0</v>
      </c>
      <c r="H69" s="349">
        <f t="shared" si="17"/>
        <v>0</v>
      </c>
      <c r="I69" s="349">
        <f t="shared" si="17"/>
        <v>0</v>
      </c>
      <c r="J69" s="349">
        <f t="shared" si="17"/>
        <v>0</v>
      </c>
      <c r="K69" s="349">
        <f t="shared" si="17"/>
        <v>0</v>
      </c>
      <c r="L69" s="349">
        <f t="shared" si="17"/>
        <v>0</v>
      </c>
      <c r="M69" s="349">
        <f t="shared" si="17"/>
        <v>0</v>
      </c>
      <c r="N69" s="349">
        <f t="shared" si="17"/>
        <v>0</v>
      </c>
      <c r="O69" s="349">
        <f t="shared" si="17"/>
        <v>0</v>
      </c>
      <c r="P69" s="349">
        <f t="shared" si="17"/>
        <v>0</v>
      </c>
      <c r="Q69" s="349">
        <f t="shared" si="17"/>
        <v>0</v>
      </c>
      <c r="R69" s="349">
        <f t="shared" si="17"/>
        <v>0</v>
      </c>
      <c r="S69" s="349">
        <f t="shared" si="17"/>
        <v>0</v>
      </c>
      <c r="T69" s="349">
        <f t="shared" si="17"/>
        <v>0</v>
      </c>
      <c r="U69" s="349">
        <f t="shared" si="17"/>
        <v>0</v>
      </c>
      <c r="V69" s="349">
        <f t="shared" si="17"/>
        <v>0</v>
      </c>
      <c r="W69" s="349">
        <f t="shared" si="17"/>
        <v>0</v>
      </c>
      <c r="X69" s="349">
        <f t="shared" si="17"/>
        <v>0</v>
      </c>
      <c r="Y69" s="349">
        <f t="shared" si="17"/>
        <v>0</v>
      </c>
      <c r="Z69" s="349">
        <f t="shared" si="17"/>
        <v>0</v>
      </c>
      <c r="AA69" s="349">
        <f t="shared" si="17"/>
        <v>0</v>
      </c>
      <c r="AB69" s="349">
        <f t="shared" si="17"/>
        <v>0</v>
      </c>
      <c r="AC69" s="349">
        <f t="shared" si="17"/>
        <v>0</v>
      </c>
      <c r="AD69" s="349">
        <f t="shared" si="17"/>
        <v>0</v>
      </c>
      <c r="AE69" s="349">
        <f t="shared" si="17"/>
        <v>0</v>
      </c>
      <c r="AF69" s="349">
        <f t="shared" si="17"/>
        <v>0</v>
      </c>
      <c r="AG69" s="349">
        <f t="shared" si="17"/>
        <v>0</v>
      </c>
      <c r="AH69" s="349">
        <f t="shared" si="17"/>
        <v>0</v>
      </c>
      <c r="AI69" s="349">
        <f t="shared" si="17"/>
        <v>0</v>
      </c>
      <c r="AJ69" s="349">
        <f t="shared" si="17"/>
        <v>0</v>
      </c>
      <c r="AK69" s="349">
        <f t="shared" si="17"/>
        <v>0</v>
      </c>
      <c r="AL69" s="349">
        <f t="shared" si="17"/>
        <v>0</v>
      </c>
      <c r="AM69" s="349">
        <f t="shared" si="17"/>
        <v>0</v>
      </c>
      <c r="AN69" s="349">
        <f t="shared" si="17"/>
        <v>0</v>
      </c>
      <c r="AO69" s="349">
        <f t="shared" si="17"/>
        <v>0</v>
      </c>
      <c r="AP69" s="349">
        <f>-AP56</f>
        <v>0</v>
      </c>
    </row>
    <row r="70" spans="1:45" ht="14.25" x14ac:dyDescent="0.2">
      <c r="A70" s="278" t="s">
        <v>225</v>
      </c>
      <c r="B70" s="350">
        <f t="shared" ref="B70:AO70" si="18">B68+B69</f>
        <v>6043989.9500000002</v>
      </c>
      <c r="C70" s="350">
        <f t="shared" si="18"/>
        <v>-431533.9284279875</v>
      </c>
      <c r="D70" s="350">
        <f t="shared" si="18"/>
        <v>-441337.79385529633</v>
      </c>
      <c r="E70" s="350">
        <f t="shared" si="18"/>
        <v>-451553.4216305521</v>
      </c>
      <c r="F70" s="350">
        <f t="shared" si="18"/>
        <v>-462198.10577236861</v>
      </c>
      <c r="G70" s="350">
        <f t="shared" si="18"/>
        <v>-473289.86664814147</v>
      </c>
      <c r="H70" s="350">
        <f t="shared" si="18"/>
        <v>-484847.48148069676</v>
      </c>
      <c r="I70" s="350">
        <f t="shared" si="18"/>
        <v>-496890.51613621938</v>
      </c>
      <c r="J70" s="350">
        <f t="shared" si="18"/>
        <v>-509439.35824727395</v>
      </c>
      <c r="K70" s="350">
        <f t="shared" si="18"/>
        <v>-522515.25172699278</v>
      </c>
      <c r="L70" s="350">
        <f t="shared" si="18"/>
        <v>-536140.33273285977</v>
      </c>
      <c r="M70" s="350">
        <f t="shared" si="18"/>
        <v>-550337.66714097327</v>
      </c>
      <c r="N70" s="350">
        <f t="shared" si="18"/>
        <v>-565131.28959422745</v>
      </c>
      <c r="O70" s="350">
        <f t="shared" si="18"/>
        <v>-580546.2441905184</v>
      </c>
      <c r="P70" s="350">
        <f t="shared" si="18"/>
        <v>-596608.62687985343</v>
      </c>
      <c r="Q70" s="350">
        <f t="shared" si="18"/>
        <v>-613345.6296421407</v>
      </c>
      <c r="R70" s="350">
        <f t="shared" si="18"/>
        <v>-630785.5865204439</v>
      </c>
      <c r="S70" s="350">
        <f t="shared" si="18"/>
        <v>-648958.02158763586</v>
      </c>
      <c r="T70" s="350">
        <f t="shared" si="18"/>
        <v>-667893.69892765</v>
      </c>
      <c r="U70" s="350">
        <f t="shared" si="18"/>
        <v>-687624.67471594468</v>
      </c>
      <c r="V70" s="350">
        <f t="shared" si="18"/>
        <v>-708184.35148734762</v>
      </c>
      <c r="W70" s="350">
        <f t="shared" si="18"/>
        <v>-729607.53468314954</v>
      </c>
      <c r="X70" s="350">
        <f t="shared" si="18"/>
        <v>-751930.49157317518</v>
      </c>
      <c r="Y70" s="350">
        <f t="shared" si="18"/>
        <v>-775191.01265258202</v>
      </c>
      <c r="Z70" s="350">
        <f t="shared" si="18"/>
        <v>-799428.47561732377</v>
      </c>
      <c r="AA70" s="350">
        <f t="shared" si="18"/>
        <v>-824683.91202658485</v>
      </c>
      <c r="AB70" s="350">
        <f t="shared" si="18"/>
        <v>-851000.07676503481</v>
      </c>
      <c r="AC70" s="350">
        <f t="shared" si="18"/>
        <v>-878421.52042249963</v>
      </c>
      <c r="AD70" s="350">
        <f t="shared" si="18"/>
        <v>-906994.66471357807</v>
      </c>
      <c r="AE70" s="350">
        <f t="shared" si="18"/>
        <v>-936767.88106488157</v>
      </c>
      <c r="AF70" s="350">
        <f t="shared" si="18"/>
        <v>-967791.57250293996</v>
      </c>
      <c r="AG70" s="350">
        <f t="shared" si="18"/>
        <v>-1000118.2589813967</v>
      </c>
      <c r="AH70" s="350">
        <f t="shared" si="18"/>
        <v>-1033802.6662919486</v>
      </c>
      <c r="AI70" s="350">
        <f t="shared" si="18"/>
        <v>-1068901.8187095439</v>
      </c>
      <c r="AJ70" s="350">
        <f t="shared" si="18"/>
        <v>-1105475.1355286781</v>
      </c>
      <c r="AK70" s="350">
        <f t="shared" si="18"/>
        <v>-1143584.5316542159</v>
      </c>
      <c r="AL70" s="350">
        <f t="shared" si="18"/>
        <v>-1183294.5224170266</v>
      </c>
      <c r="AM70" s="350">
        <f t="shared" si="18"/>
        <v>-1224672.3327918751</v>
      </c>
      <c r="AN70" s="350">
        <f t="shared" si="18"/>
        <v>-1267788.0112024671</v>
      </c>
      <c r="AO70" s="350">
        <f t="shared" si="18"/>
        <v>-1312714.5481063044</v>
      </c>
      <c r="AP70" s="350">
        <f>AP68+AP69</f>
        <v>-1359527.9995601024</v>
      </c>
    </row>
    <row r="71" spans="1:45" x14ac:dyDescent="0.2">
      <c r="A71" s="122" t="s">
        <v>220</v>
      </c>
      <c r="B71" s="349">
        <f t="shared" ref="B71:AP71" si="19">-B70*$B$36</f>
        <v>-1208797.99</v>
      </c>
      <c r="C71" s="349">
        <f t="shared" si="19"/>
        <v>86306.785685597511</v>
      </c>
      <c r="D71" s="349">
        <f t="shared" si="19"/>
        <v>88267.558771059266</v>
      </c>
      <c r="E71" s="349">
        <f t="shared" si="19"/>
        <v>90310.684326110422</v>
      </c>
      <c r="F71" s="349">
        <f t="shared" si="19"/>
        <v>92439.621154473731</v>
      </c>
      <c r="G71" s="349">
        <f t="shared" si="19"/>
        <v>94657.973329628294</v>
      </c>
      <c r="H71" s="349">
        <f t="shared" si="19"/>
        <v>96969.496296139361</v>
      </c>
      <c r="I71" s="349">
        <f t="shared" si="19"/>
        <v>99378.103227243875</v>
      </c>
      <c r="J71" s="349">
        <f t="shared" si="19"/>
        <v>101887.8716494548</v>
      </c>
      <c r="K71" s="349">
        <f t="shared" si="19"/>
        <v>104503.05034539856</v>
      </c>
      <c r="L71" s="349">
        <f t="shared" si="19"/>
        <v>107228.06654657196</v>
      </c>
      <c r="M71" s="349">
        <f t="shared" si="19"/>
        <v>110067.53342819466</v>
      </c>
      <c r="N71" s="349">
        <f t="shared" si="19"/>
        <v>113026.2579188455</v>
      </c>
      <c r="O71" s="349">
        <f t="shared" si="19"/>
        <v>116109.24883810368</v>
      </c>
      <c r="P71" s="349">
        <f t="shared" si="19"/>
        <v>119321.72537597069</v>
      </c>
      <c r="Q71" s="349">
        <f t="shared" si="19"/>
        <v>122669.12592842814</v>
      </c>
      <c r="R71" s="349">
        <f t="shared" si="19"/>
        <v>126157.11730408878</v>
      </c>
      <c r="S71" s="349">
        <f t="shared" si="19"/>
        <v>129791.60431752718</v>
      </c>
      <c r="T71" s="349">
        <f t="shared" si="19"/>
        <v>133578.73978552999</v>
      </c>
      <c r="U71" s="349">
        <f t="shared" si="19"/>
        <v>137524.93494318894</v>
      </c>
      <c r="V71" s="349">
        <f t="shared" si="19"/>
        <v>141636.87029746952</v>
      </c>
      <c r="W71" s="349">
        <f t="shared" si="19"/>
        <v>145921.50693662991</v>
      </c>
      <c r="X71" s="349">
        <f t="shared" si="19"/>
        <v>150386.09831463505</v>
      </c>
      <c r="Y71" s="349">
        <f t="shared" si="19"/>
        <v>155038.2025305164</v>
      </c>
      <c r="Z71" s="349">
        <f t="shared" si="19"/>
        <v>159885.69512346477</v>
      </c>
      <c r="AA71" s="349">
        <f t="shared" si="19"/>
        <v>164936.78240531698</v>
      </c>
      <c r="AB71" s="349">
        <f t="shared" si="19"/>
        <v>170200.01535300698</v>
      </c>
      <c r="AC71" s="349">
        <f t="shared" si="19"/>
        <v>175684.30408449995</v>
      </c>
      <c r="AD71" s="349">
        <f t="shared" si="19"/>
        <v>181398.93294271562</v>
      </c>
      <c r="AE71" s="349">
        <f t="shared" si="19"/>
        <v>187353.57621297633</v>
      </c>
      <c r="AF71" s="349">
        <f t="shared" si="19"/>
        <v>193558.31450058799</v>
      </c>
      <c r="AG71" s="349">
        <f t="shared" si="19"/>
        <v>200023.65179627936</v>
      </c>
      <c r="AH71" s="349">
        <f t="shared" si="19"/>
        <v>206760.53325838974</v>
      </c>
      <c r="AI71" s="349">
        <f t="shared" si="19"/>
        <v>213780.3637419088</v>
      </c>
      <c r="AJ71" s="349">
        <f t="shared" si="19"/>
        <v>221095.02710573561</v>
      </c>
      <c r="AK71" s="349">
        <f t="shared" si="19"/>
        <v>228716.90633084319</v>
      </c>
      <c r="AL71" s="349">
        <f t="shared" si="19"/>
        <v>236658.90448340532</v>
      </c>
      <c r="AM71" s="349">
        <f t="shared" si="19"/>
        <v>244934.46655837505</v>
      </c>
      <c r="AN71" s="349">
        <f t="shared" si="19"/>
        <v>253557.60224049343</v>
      </c>
      <c r="AO71" s="349">
        <f t="shared" si="19"/>
        <v>262542.90962126089</v>
      </c>
      <c r="AP71" s="349">
        <f t="shared" si="19"/>
        <v>271905.59991202049</v>
      </c>
    </row>
    <row r="72" spans="1:45" ht="15" thickBot="1" x14ac:dyDescent="0.25">
      <c r="A72" s="281" t="s">
        <v>224</v>
      </c>
      <c r="B72" s="121">
        <f t="shared" ref="B72:AO72" si="20">B70+B71</f>
        <v>4835191.96</v>
      </c>
      <c r="C72" s="121">
        <f t="shared" si="20"/>
        <v>-345227.14274238999</v>
      </c>
      <c r="D72" s="121">
        <f t="shared" si="20"/>
        <v>-353070.23508423707</v>
      </c>
      <c r="E72" s="121">
        <f t="shared" si="20"/>
        <v>-361242.73730444169</v>
      </c>
      <c r="F72" s="121">
        <f t="shared" si="20"/>
        <v>-369758.48461789486</v>
      </c>
      <c r="G72" s="121">
        <f t="shared" si="20"/>
        <v>-378631.89331851318</v>
      </c>
      <c r="H72" s="121">
        <f t="shared" si="20"/>
        <v>-387877.98518455739</v>
      </c>
      <c r="I72" s="121">
        <f t="shared" si="20"/>
        <v>-397512.4129089755</v>
      </c>
      <c r="J72" s="121">
        <f t="shared" si="20"/>
        <v>-407551.48659781914</v>
      </c>
      <c r="K72" s="121">
        <f t="shared" si="20"/>
        <v>-418012.20138159423</v>
      </c>
      <c r="L72" s="121">
        <f t="shared" si="20"/>
        <v>-428912.2661862878</v>
      </c>
      <c r="M72" s="121">
        <f t="shared" si="20"/>
        <v>-440270.13371277862</v>
      </c>
      <c r="N72" s="121">
        <f t="shared" si="20"/>
        <v>-452105.03167538194</v>
      </c>
      <c r="O72" s="121">
        <f t="shared" si="20"/>
        <v>-464436.99535241473</v>
      </c>
      <c r="P72" s="121">
        <f t="shared" si="20"/>
        <v>-477286.90150388272</v>
      </c>
      <c r="Q72" s="121">
        <f t="shared" si="20"/>
        <v>-490676.50371371256</v>
      </c>
      <c r="R72" s="121">
        <f t="shared" si="20"/>
        <v>-504628.46921635512</v>
      </c>
      <c r="S72" s="121">
        <f t="shared" si="20"/>
        <v>-519166.41727010871</v>
      </c>
      <c r="T72" s="121">
        <f t="shared" si="20"/>
        <v>-534314.95914211997</v>
      </c>
      <c r="U72" s="121">
        <f t="shared" si="20"/>
        <v>-550099.73977275577</v>
      </c>
      <c r="V72" s="121">
        <f t="shared" si="20"/>
        <v>-566547.48118987808</v>
      </c>
      <c r="W72" s="121">
        <f t="shared" si="20"/>
        <v>-583686.02774651966</v>
      </c>
      <c r="X72" s="121">
        <f t="shared" si="20"/>
        <v>-601544.39325854019</v>
      </c>
      <c r="Y72" s="121">
        <f t="shared" si="20"/>
        <v>-620152.8101220656</v>
      </c>
      <c r="Z72" s="121">
        <f t="shared" si="20"/>
        <v>-639542.78049385897</v>
      </c>
      <c r="AA72" s="121">
        <f t="shared" si="20"/>
        <v>-659747.1296212679</v>
      </c>
      <c r="AB72" s="121">
        <f t="shared" si="20"/>
        <v>-680800.0614120278</v>
      </c>
      <c r="AC72" s="121">
        <f t="shared" si="20"/>
        <v>-702737.21633799968</v>
      </c>
      <c r="AD72" s="121">
        <f t="shared" si="20"/>
        <v>-725595.73177086248</v>
      </c>
      <c r="AE72" s="121">
        <f t="shared" si="20"/>
        <v>-749414.30485190521</v>
      </c>
      <c r="AF72" s="121">
        <f t="shared" si="20"/>
        <v>-774233.25800235197</v>
      </c>
      <c r="AG72" s="121">
        <f t="shared" si="20"/>
        <v>-800094.60718511732</v>
      </c>
      <c r="AH72" s="121">
        <f t="shared" si="20"/>
        <v>-827042.13303355896</v>
      </c>
      <c r="AI72" s="121">
        <f t="shared" si="20"/>
        <v>-855121.4549676351</v>
      </c>
      <c r="AJ72" s="121">
        <f t="shared" si="20"/>
        <v>-884380.10842294246</v>
      </c>
      <c r="AK72" s="121">
        <f t="shared" si="20"/>
        <v>-914867.62532337266</v>
      </c>
      <c r="AL72" s="121">
        <f t="shared" si="20"/>
        <v>-946635.61793362128</v>
      </c>
      <c r="AM72" s="121">
        <f t="shared" si="20"/>
        <v>-979737.86623350007</v>
      </c>
      <c r="AN72" s="121">
        <f t="shared" si="20"/>
        <v>-1014230.4089619737</v>
      </c>
      <c r="AO72" s="121">
        <f t="shared" si="20"/>
        <v>-1050171.6384850435</v>
      </c>
      <c r="AP72" s="121">
        <f>AP70+AP71</f>
        <v>-1087622.399648082</v>
      </c>
    </row>
    <row r="73" spans="1:45" s="283" customFormat="1" ht="16.5" thickBot="1" x14ac:dyDescent="0.25">
      <c r="A73" s="274"/>
      <c r="B73" s="282">
        <f>J141</f>
        <v>6.5</v>
      </c>
      <c r="C73" s="282">
        <f t="shared" ref="C73:AP73" si="21">K141</f>
        <v>7.5</v>
      </c>
      <c r="D73" s="282">
        <f t="shared" si="21"/>
        <v>8.5</v>
      </c>
      <c r="E73" s="282">
        <f t="shared" si="21"/>
        <v>9.5</v>
      </c>
      <c r="F73" s="282">
        <f t="shared" si="21"/>
        <v>10.5</v>
      </c>
      <c r="G73" s="282">
        <f t="shared" si="21"/>
        <v>11.5</v>
      </c>
      <c r="H73" s="282">
        <f t="shared" si="21"/>
        <v>12.5</v>
      </c>
      <c r="I73" s="282">
        <f t="shared" si="21"/>
        <v>13.5</v>
      </c>
      <c r="J73" s="282">
        <f t="shared" si="21"/>
        <v>14.5</v>
      </c>
      <c r="K73" s="282">
        <f t="shared" si="21"/>
        <v>15.5</v>
      </c>
      <c r="L73" s="282">
        <f t="shared" si="21"/>
        <v>16.5</v>
      </c>
      <c r="M73" s="282">
        <f t="shared" si="21"/>
        <v>17.5</v>
      </c>
      <c r="N73" s="282">
        <f t="shared" si="21"/>
        <v>18.5</v>
      </c>
      <c r="O73" s="282">
        <f t="shared" si="21"/>
        <v>19.5</v>
      </c>
      <c r="P73" s="282">
        <f t="shared" si="21"/>
        <v>20.5</v>
      </c>
      <c r="Q73" s="282">
        <f t="shared" si="21"/>
        <v>21.5</v>
      </c>
      <c r="R73" s="282">
        <f t="shared" si="21"/>
        <v>22.5</v>
      </c>
      <c r="S73" s="282">
        <f t="shared" si="21"/>
        <v>23.5</v>
      </c>
      <c r="T73" s="282">
        <f t="shared" si="21"/>
        <v>24.5</v>
      </c>
      <c r="U73" s="282">
        <f t="shared" si="21"/>
        <v>25.5</v>
      </c>
      <c r="V73" s="282">
        <f t="shared" si="21"/>
        <v>26.5</v>
      </c>
      <c r="W73" s="282">
        <f t="shared" si="21"/>
        <v>27.5</v>
      </c>
      <c r="X73" s="282">
        <f t="shared" si="21"/>
        <v>28.5</v>
      </c>
      <c r="Y73" s="282">
        <f t="shared" si="21"/>
        <v>29.5</v>
      </c>
      <c r="Z73" s="282">
        <f t="shared" si="21"/>
        <v>30.5</v>
      </c>
      <c r="AA73" s="282">
        <f t="shared" si="21"/>
        <v>31.5</v>
      </c>
      <c r="AB73" s="282">
        <f t="shared" si="21"/>
        <v>32.5</v>
      </c>
      <c r="AC73" s="282">
        <f t="shared" si="21"/>
        <v>33.5</v>
      </c>
      <c r="AD73" s="282">
        <f t="shared" si="21"/>
        <v>34.5</v>
      </c>
      <c r="AE73" s="282">
        <f t="shared" si="21"/>
        <v>35.5</v>
      </c>
      <c r="AF73" s="282">
        <f t="shared" si="21"/>
        <v>36.5</v>
      </c>
      <c r="AG73" s="282">
        <f t="shared" si="21"/>
        <v>37.5</v>
      </c>
      <c r="AH73" s="282">
        <f t="shared" si="21"/>
        <v>38.5</v>
      </c>
      <c r="AI73" s="282">
        <f t="shared" si="21"/>
        <v>39.5</v>
      </c>
      <c r="AJ73" s="282">
        <f t="shared" si="21"/>
        <v>40.5</v>
      </c>
      <c r="AK73" s="282">
        <f t="shared" si="21"/>
        <v>41.5</v>
      </c>
      <c r="AL73" s="282">
        <f t="shared" si="21"/>
        <v>42.5</v>
      </c>
      <c r="AM73" s="282">
        <f t="shared" si="21"/>
        <v>43.5</v>
      </c>
      <c r="AN73" s="282">
        <f t="shared" si="21"/>
        <v>44.5</v>
      </c>
      <c r="AO73" s="282">
        <f t="shared" si="21"/>
        <v>45.5</v>
      </c>
      <c r="AP73" s="282">
        <f t="shared" si="21"/>
        <v>46.5</v>
      </c>
      <c r="AQ73" s="225"/>
      <c r="AR73" s="225"/>
      <c r="AS73" s="225"/>
    </row>
    <row r="74" spans="1:45" x14ac:dyDescent="0.2">
      <c r="A74" s="271"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7" t="s">
        <v>546</v>
      </c>
      <c r="B75" s="350">
        <f t="shared" ref="B75:AO75" si="23">B68</f>
        <v>6043989.9500000002</v>
      </c>
      <c r="C75" s="350">
        <f t="shared" si="23"/>
        <v>-431533.9284279875</v>
      </c>
      <c r="D75" s="350">
        <f>D68</f>
        <v>-441337.79385529633</v>
      </c>
      <c r="E75" s="350">
        <f t="shared" si="23"/>
        <v>-451553.4216305521</v>
      </c>
      <c r="F75" s="350">
        <f t="shared" si="23"/>
        <v>-462198.10577236861</v>
      </c>
      <c r="G75" s="350">
        <f t="shared" si="23"/>
        <v>-473289.86664814147</v>
      </c>
      <c r="H75" s="350">
        <f t="shared" si="23"/>
        <v>-484847.48148069676</v>
      </c>
      <c r="I75" s="350">
        <f t="shared" si="23"/>
        <v>-496890.51613621938</v>
      </c>
      <c r="J75" s="350">
        <f t="shared" si="23"/>
        <v>-509439.35824727395</v>
      </c>
      <c r="K75" s="350">
        <f t="shared" si="23"/>
        <v>-522515.25172699278</v>
      </c>
      <c r="L75" s="350">
        <f t="shared" si="23"/>
        <v>-536140.33273285977</v>
      </c>
      <c r="M75" s="350">
        <f t="shared" si="23"/>
        <v>-550337.66714097327</v>
      </c>
      <c r="N75" s="350">
        <f t="shared" si="23"/>
        <v>-565131.28959422745</v>
      </c>
      <c r="O75" s="350">
        <f t="shared" si="23"/>
        <v>-580546.2441905184</v>
      </c>
      <c r="P75" s="350">
        <f t="shared" si="23"/>
        <v>-596608.62687985343</v>
      </c>
      <c r="Q75" s="350">
        <f t="shared" si="23"/>
        <v>-613345.6296421407</v>
      </c>
      <c r="R75" s="350">
        <f t="shared" si="23"/>
        <v>-630785.5865204439</v>
      </c>
      <c r="S75" s="350">
        <f t="shared" si="23"/>
        <v>-648958.02158763586</v>
      </c>
      <c r="T75" s="350">
        <f t="shared" si="23"/>
        <v>-667893.69892765</v>
      </c>
      <c r="U75" s="350">
        <f t="shared" si="23"/>
        <v>-687624.67471594468</v>
      </c>
      <c r="V75" s="350">
        <f t="shared" si="23"/>
        <v>-708184.35148734762</v>
      </c>
      <c r="W75" s="350">
        <f t="shared" si="23"/>
        <v>-729607.53468314954</v>
      </c>
      <c r="X75" s="350">
        <f t="shared" si="23"/>
        <v>-751930.49157317518</v>
      </c>
      <c r="Y75" s="350">
        <f t="shared" si="23"/>
        <v>-775191.01265258202</v>
      </c>
      <c r="Z75" s="350">
        <f t="shared" si="23"/>
        <v>-799428.47561732377</v>
      </c>
      <c r="AA75" s="350">
        <f t="shared" si="23"/>
        <v>-824683.91202658485</v>
      </c>
      <c r="AB75" s="350">
        <f t="shared" si="23"/>
        <v>-851000.07676503481</v>
      </c>
      <c r="AC75" s="350">
        <f t="shared" si="23"/>
        <v>-878421.52042249963</v>
      </c>
      <c r="AD75" s="350">
        <f t="shared" si="23"/>
        <v>-906994.66471357807</v>
      </c>
      <c r="AE75" s="350">
        <f t="shared" si="23"/>
        <v>-936767.88106488157</v>
      </c>
      <c r="AF75" s="350">
        <f t="shared" si="23"/>
        <v>-967791.57250293996</v>
      </c>
      <c r="AG75" s="350">
        <f t="shared" si="23"/>
        <v>-1000118.2589813967</v>
      </c>
      <c r="AH75" s="350">
        <f t="shared" si="23"/>
        <v>-1033802.6662919486</v>
      </c>
      <c r="AI75" s="350">
        <f t="shared" si="23"/>
        <v>-1068901.8187095439</v>
      </c>
      <c r="AJ75" s="350">
        <f t="shared" si="23"/>
        <v>-1105475.1355286781</v>
      </c>
      <c r="AK75" s="350">
        <f t="shared" si="23"/>
        <v>-1143584.5316542159</v>
      </c>
      <c r="AL75" s="350">
        <f t="shared" si="23"/>
        <v>-1183294.5224170266</v>
      </c>
      <c r="AM75" s="350">
        <f t="shared" si="23"/>
        <v>-1224672.3327918751</v>
      </c>
      <c r="AN75" s="350">
        <f t="shared" si="23"/>
        <v>-1267788.0112024671</v>
      </c>
      <c r="AO75" s="350">
        <f t="shared" si="23"/>
        <v>-1312714.5481063044</v>
      </c>
      <c r="AP75" s="350">
        <f>AP68</f>
        <v>-1359527.9995601024</v>
      </c>
    </row>
    <row r="76" spans="1:45" x14ac:dyDescent="0.2">
      <c r="A76" s="122" t="s">
        <v>222</v>
      </c>
      <c r="B76" s="349">
        <f t="shared" ref="B76:AO76" si="24">-B67</f>
        <v>0</v>
      </c>
      <c r="C76" s="349">
        <f>-C67</f>
        <v>198108.56111111114</v>
      </c>
      <c r="D76" s="349">
        <f t="shared" si="24"/>
        <v>198108.56111111114</v>
      </c>
      <c r="E76" s="349">
        <f t="shared" si="24"/>
        <v>198108.56111111114</v>
      </c>
      <c r="F76" s="349">
        <f>-C67</f>
        <v>198108.56111111114</v>
      </c>
      <c r="G76" s="349">
        <f t="shared" si="24"/>
        <v>198108.56111111114</v>
      </c>
      <c r="H76" s="349">
        <f t="shared" si="24"/>
        <v>198108.56111111114</v>
      </c>
      <c r="I76" s="349">
        <f t="shared" si="24"/>
        <v>198108.56111111114</v>
      </c>
      <c r="J76" s="349">
        <f t="shared" si="24"/>
        <v>198108.56111111114</v>
      </c>
      <c r="K76" s="349">
        <f t="shared" si="24"/>
        <v>198108.56111111114</v>
      </c>
      <c r="L76" s="349">
        <f>-L67</f>
        <v>198108.56111111114</v>
      </c>
      <c r="M76" s="349">
        <f>-M67</f>
        <v>198108.56111111114</v>
      </c>
      <c r="N76" s="349">
        <f t="shared" si="24"/>
        <v>198108.56111111114</v>
      </c>
      <c r="O76" s="349">
        <f t="shared" si="24"/>
        <v>198108.56111111114</v>
      </c>
      <c r="P76" s="349">
        <f t="shared" si="24"/>
        <v>198108.56111111114</v>
      </c>
      <c r="Q76" s="349">
        <f t="shared" si="24"/>
        <v>198108.56111111114</v>
      </c>
      <c r="R76" s="349">
        <f t="shared" si="24"/>
        <v>198108.56111111114</v>
      </c>
      <c r="S76" s="349">
        <f t="shared" si="24"/>
        <v>198108.56111111114</v>
      </c>
      <c r="T76" s="349">
        <f t="shared" si="24"/>
        <v>198108.56111111114</v>
      </c>
      <c r="U76" s="349">
        <f t="shared" si="24"/>
        <v>198108.56111111114</v>
      </c>
      <c r="V76" s="349">
        <f t="shared" si="24"/>
        <v>198108.56111111114</v>
      </c>
      <c r="W76" s="349">
        <f t="shared" si="24"/>
        <v>198108.56111111114</v>
      </c>
      <c r="X76" s="349">
        <f t="shared" si="24"/>
        <v>198108.56111111114</v>
      </c>
      <c r="Y76" s="349">
        <f t="shared" si="24"/>
        <v>198108.56111111114</v>
      </c>
      <c r="Z76" s="349">
        <f t="shared" si="24"/>
        <v>198108.56111111114</v>
      </c>
      <c r="AA76" s="349">
        <f t="shared" si="24"/>
        <v>198108.56111111114</v>
      </c>
      <c r="AB76" s="349">
        <f t="shared" si="24"/>
        <v>198108.56111111114</v>
      </c>
      <c r="AC76" s="349">
        <f t="shared" si="24"/>
        <v>198108.56111111114</v>
      </c>
      <c r="AD76" s="349">
        <f t="shared" si="24"/>
        <v>198108.56111111114</v>
      </c>
      <c r="AE76" s="349">
        <f t="shared" si="24"/>
        <v>198108.56111111114</v>
      </c>
      <c r="AF76" s="349">
        <f t="shared" si="24"/>
        <v>198108.56111111114</v>
      </c>
      <c r="AG76" s="349">
        <f t="shared" si="24"/>
        <v>198108.56111111114</v>
      </c>
      <c r="AH76" s="349">
        <f t="shared" si="24"/>
        <v>198108.56111111114</v>
      </c>
      <c r="AI76" s="349">
        <f t="shared" si="24"/>
        <v>198108.56111111114</v>
      </c>
      <c r="AJ76" s="349">
        <f t="shared" si="24"/>
        <v>198108.56111111114</v>
      </c>
      <c r="AK76" s="349">
        <f t="shared" si="24"/>
        <v>198108.56111111114</v>
      </c>
      <c r="AL76" s="349">
        <f t="shared" si="24"/>
        <v>198108.56111111114</v>
      </c>
      <c r="AM76" s="349">
        <f t="shared" si="24"/>
        <v>198108.56111111114</v>
      </c>
      <c r="AN76" s="349">
        <f t="shared" si="24"/>
        <v>198108.56111111114</v>
      </c>
      <c r="AO76" s="349">
        <f t="shared" si="24"/>
        <v>198108.56111111114</v>
      </c>
      <c r="AP76" s="349">
        <f>-AP67</f>
        <v>198108.56111111114</v>
      </c>
    </row>
    <row r="77" spans="1:45" x14ac:dyDescent="0.2">
      <c r="A77" s="122" t="s">
        <v>221</v>
      </c>
      <c r="B77" s="349">
        <f t="shared" ref="B77:AO77" si="25">B69</f>
        <v>0</v>
      </c>
      <c r="C77" s="349">
        <f t="shared" si="25"/>
        <v>0</v>
      </c>
      <c r="D77" s="349">
        <f t="shared" si="25"/>
        <v>0</v>
      </c>
      <c r="E77" s="349">
        <f t="shared" si="25"/>
        <v>0</v>
      </c>
      <c r="F77" s="349">
        <f t="shared" si="25"/>
        <v>0</v>
      </c>
      <c r="G77" s="349">
        <f t="shared" si="25"/>
        <v>0</v>
      </c>
      <c r="H77" s="349">
        <f t="shared" si="25"/>
        <v>0</v>
      </c>
      <c r="I77" s="349">
        <f t="shared" si="25"/>
        <v>0</v>
      </c>
      <c r="J77" s="349">
        <f t="shared" si="25"/>
        <v>0</v>
      </c>
      <c r="K77" s="349">
        <f t="shared" si="25"/>
        <v>0</v>
      </c>
      <c r="L77" s="349">
        <f t="shared" si="25"/>
        <v>0</v>
      </c>
      <c r="M77" s="349">
        <f t="shared" si="25"/>
        <v>0</v>
      </c>
      <c r="N77" s="349">
        <f t="shared" si="25"/>
        <v>0</v>
      </c>
      <c r="O77" s="349">
        <f t="shared" si="25"/>
        <v>0</v>
      </c>
      <c r="P77" s="349">
        <f t="shared" si="25"/>
        <v>0</v>
      </c>
      <c r="Q77" s="349">
        <f t="shared" si="25"/>
        <v>0</v>
      </c>
      <c r="R77" s="349">
        <f t="shared" si="25"/>
        <v>0</v>
      </c>
      <c r="S77" s="349">
        <f t="shared" si="25"/>
        <v>0</v>
      </c>
      <c r="T77" s="349">
        <f t="shared" si="25"/>
        <v>0</v>
      </c>
      <c r="U77" s="349">
        <f t="shared" si="25"/>
        <v>0</v>
      </c>
      <c r="V77" s="349">
        <f t="shared" si="25"/>
        <v>0</v>
      </c>
      <c r="W77" s="349">
        <f t="shared" si="25"/>
        <v>0</v>
      </c>
      <c r="X77" s="349">
        <f t="shared" si="25"/>
        <v>0</v>
      </c>
      <c r="Y77" s="349">
        <f t="shared" si="25"/>
        <v>0</v>
      </c>
      <c r="Z77" s="349">
        <f t="shared" si="25"/>
        <v>0</v>
      </c>
      <c r="AA77" s="349">
        <f t="shared" si="25"/>
        <v>0</v>
      </c>
      <c r="AB77" s="349">
        <f t="shared" si="25"/>
        <v>0</v>
      </c>
      <c r="AC77" s="349">
        <f t="shared" si="25"/>
        <v>0</v>
      </c>
      <c r="AD77" s="349">
        <f t="shared" si="25"/>
        <v>0</v>
      </c>
      <c r="AE77" s="349">
        <f t="shared" si="25"/>
        <v>0</v>
      </c>
      <c r="AF77" s="349">
        <f t="shared" si="25"/>
        <v>0</v>
      </c>
      <c r="AG77" s="349">
        <f t="shared" si="25"/>
        <v>0</v>
      </c>
      <c r="AH77" s="349">
        <f t="shared" si="25"/>
        <v>0</v>
      </c>
      <c r="AI77" s="349">
        <f t="shared" si="25"/>
        <v>0</v>
      </c>
      <c r="AJ77" s="349">
        <f t="shared" si="25"/>
        <v>0</v>
      </c>
      <c r="AK77" s="349">
        <f t="shared" si="25"/>
        <v>0</v>
      </c>
      <c r="AL77" s="349">
        <f t="shared" si="25"/>
        <v>0</v>
      </c>
      <c r="AM77" s="349">
        <f t="shared" si="25"/>
        <v>0</v>
      </c>
      <c r="AN77" s="349">
        <f t="shared" si="25"/>
        <v>0</v>
      </c>
      <c r="AO77" s="349">
        <f t="shared" si="25"/>
        <v>0</v>
      </c>
      <c r="AP77" s="349">
        <f>AP69</f>
        <v>0</v>
      </c>
    </row>
    <row r="78" spans="1:45" x14ac:dyDescent="0.2">
      <c r="A78" s="122" t="s">
        <v>220</v>
      </c>
      <c r="B78" s="349">
        <f>IF(SUM($B$71:B71)+SUM($A$78:A78)&gt;0,0,SUM($B$71:B71)-SUM($A$78:A78))</f>
        <v>-1208797.99</v>
      </c>
      <c r="C78" s="349">
        <f>IF(SUM($B$71:C71)+SUM($A$78:B78)&gt;0,0,SUM($B$71:C71)-SUM($A$78:B78))</f>
        <v>86306.785685597453</v>
      </c>
      <c r="D78" s="349">
        <f>IF(SUM($B$71:D71)+SUM($A$78:C78)&gt;0,0,SUM($B$71:D71)-SUM($A$78:C78))</f>
        <v>88267.558771059266</v>
      </c>
      <c r="E78" s="349">
        <f>IF(SUM($B$71:E71)+SUM($A$78:D78)&gt;0,0,SUM($B$71:E71)-SUM($A$78:D78))</f>
        <v>90310.684326110408</v>
      </c>
      <c r="F78" s="349">
        <f>IF(SUM($B$71:F71)+SUM($A$78:E78)&gt;0,0,SUM($B$71:F71)-SUM($A$78:E78))</f>
        <v>92439.621154473745</v>
      </c>
      <c r="G78" s="349">
        <f>IF(SUM($B$71:G71)+SUM($A$78:F78)&gt;0,0,SUM($B$71:G71)-SUM($A$78:F78))</f>
        <v>94657.973329628352</v>
      </c>
      <c r="H78" s="349">
        <f>IF(SUM($B$71:H71)+SUM($A$78:G78)&gt;0,0,SUM($B$71:H71)-SUM($A$78:G78))</f>
        <v>96969.496296139318</v>
      </c>
      <c r="I78" s="349">
        <f>IF(SUM($B$71:I71)+SUM($A$78:H78)&gt;0,0,SUM($B$71:I71)-SUM($A$78:H78))</f>
        <v>99378.103227243875</v>
      </c>
      <c r="J78" s="349">
        <f>IF(SUM($B$71:J71)+SUM($A$78:I78)&gt;0,0,SUM($B$71:J71)-SUM($A$78:I78))</f>
        <v>101887.87164945481</v>
      </c>
      <c r="K78" s="349">
        <f>IF(SUM($B$71:K71)+SUM($A$78:J78)&gt;0,0,SUM($B$71:K71)-SUM($A$78:J78))</f>
        <v>104503.05034539854</v>
      </c>
      <c r="L78" s="349">
        <f>IF(SUM($B$71:L71)+SUM($A$78:K78)&gt;0,0,SUM($B$71:L71)-SUM($A$78:K78))</f>
        <v>107228.06654657196</v>
      </c>
      <c r="M78" s="349">
        <f>IF(SUM($B$71:M71)+SUM($A$78:L78)&gt;0,0,SUM($B$71:M71)-SUM($A$78:L78))</f>
        <v>110067.53342819464</v>
      </c>
      <c r="N78" s="349">
        <f>IF(SUM($B$71:N71)+SUM($A$78:M78)&gt;0,0,SUM($B$71:N71)-SUM($A$78:M78))</f>
        <v>113026.2579188455</v>
      </c>
      <c r="O78" s="349">
        <f>IF(SUM($B$71:O71)+SUM($A$78:N78)&gt;0,0,SUM($B$71:O71)-SUM($A$78:N78))</f>
        <v>0</v>
      </c>
      <c r="P78" s="349">
        <f>IF(SUM($B$71:P71)+SUM($A$78:O78)&gt;0,0,SUM($B$71:P71)-SUM($A$78:O78))</f>
        <v>0</v>
      </c>
      <c r="Q78" s="349">
        <f>IF(SUM($B$71:Q71)+SUM($A$78:P78)&gt;0,0,SUM($B$71:Q71)-SUM($A$78:P78))</f>
        <v>0</v>
      </c>
      <c r="R78" s="349">
        <f>IF(SUM($B$71:R71)+SUM($A$78:Q78)&gt;0,0,SUM($B$71:R71)-SUM($A$78:Q78))</f>
        <v>0</v>
      </c>
      <c r="S78" s="349">
        <f>IF(SUM($B$71:S71)+SUM($A$78:R78)&gt;0,0,SUM($B$71:S71)-SUM($A$78:R78))</f>
        <v>0</v>
      </c>
      <c r="T78" s="349">
        <f>IF(SUM($B$71:T71)+SUM($A$78:S78)&gt;0,0,SUM($B$71:T71)-SUM($A$78:S78))</f>
        <v>0</v>
      </c>
      <c r="U78" s="349">
        <f>IF(SUM($B$71:U71)+SUM($A$78:T78)&gt;0,0,SUM($B$71:U71)-SUM($A$78:T78))</f>
        <v>0</v>
      </c>
      <c r="V78" s="349">
        <f>IF(SUM($B$71:V71)+SUM($A$78:U78)&gt;0,0,SUM($B$71:V71)-SUM($A$78:U78))</f>
        <v>0</v>
      </c>
      <c r="W78" s="349">
        <f>IF(SUM($B$71:W71)+SUM($A$78:V78)&gt;0,0,SUM($B$71:W71)-SUM($A$78:V78))</f>
        <v>0</v>
      </c>
      <c r="X78" s="349">
        <f>IF(SUM($B$71:X71)+SUM($A$78:W78)&gt;0,0,SUM($B$71:X71)-SUM($A$78:W78))</f>
        <v>0</v>
      </c>
      <c r="Y78" s="349">
        <f>IF(SUM($B$71:Y71)+SUM($A$78:X78)&gt;0,0,SUM($B$71:Y71)-SUM($A$78:X78))</f>
        <v>0</v>
      </c>
      <c r="Z78" s="349">
        <f>IF(SUM($B$71:Z71)+SUM($A$78:Y78)&gt;0,0,SUM($B$71:Z71)-SUM($A$78:Y78))</f>
        <v>0</v>
      </c>
      <c r="AA78" s="349">
        <f>IF(SUM($B$71:AA71)+SUM($A$78:Z78)&gt;0,0,SUM($B$71:AA71)-SUM($A$78:Z78))</f>
        <v>0</v>
      </c>
      <c r="AB78" s="349">
        <f>IF(SUM($B$71:AB71)+SUM($A$78:AA78)&gt;0,0,SUM($B$71:AB71)-SUM($A$78:AA78))</f>
        <v>0</v>
      </c>
      <c r="AC78" s="349">
        <f>IF(SUM($B$71:AC71)+SUM($A$78:AB78)&gt;0,0,SUM($B$71:AC71)-SUM($A$78:AB78))</f>
        <v>0</v>
      </c>
      <c r="AD78" s="349">
        <f>IF(SUM($B$71:AD71)+SUM($A$78:AC78)&gt;0,0,SUM($B$71:AD71)-SUM($A$78:AC78))</f>
        <v>0</v>
      </c>
      <c r="AE78" s="349">
        <f>IF(SUM($B$71:AE71)+SUM($A$78:AD78)&gt;0,0,SUM($B$71:AE71)-SUM($A$78:AD78))</f>
        <v>0</v>
      </c>
      <c r="AF78" s="349">
        <f>IF(SUM($B$71:AF71)+SUM($A$78:AE78)&gt;0,0,SUM($B$71:AF71)-SUM($A$78:AE78))</f>
        <v>0</v>
      </c>
      <c r="AG78" s="349">
        <f>IF(SUM($B$71:AG71)+SUM($A$78:AF78)&gt;0,0,SUM($B$71:AG71)-SUM($A$78:AF78))</f>
        <v>0</v>
      </c>
      <c r="AH78" s="349">
        <f>IF(SUM($B$71:AH71)+SUM($A$78:AG78)&gt;0,0,SUM($B$71:AH71)-SUM($A$78:AG78))</f>
        <v>0</v>
      </c>
      <c r="AI78" s="349">
        <f>IF(SUM($B$71:AI71)+SUM($A$78:AH78)&gt;0,0,SUM($B$71:AI71)-SUM($A$78:AH78))</f>
        <v>0</v>
      </c>
      <c r="AJ78" s="349">
        <f>IF(SUM($B$71:AJ71)+SUM($A$78:AI78)&gt;0,0,SUM($B$71:AJ71)-SUM($A$78:AI78))</f>
        <v>0</v>
      </c>
      <c r="AK78" s="349">
        <f>IF(SUM($B$71:AK71)+SUM($A$78:AJ78)&gt;0,0,SUM($B$71:AK71)-SUM($A$78:AJ78))</f>
        <v>0</v>
      </c>
      <c r="AL78" s="349">
        <f>IF(SUM($B$71:AL71)+SUM($A$78:AK78)&gt;0,0,SUM($B$71:AL71)-SUM($A$78:AK78))</f>
        <v>0</v>
      </c>
      <c r="AM78" s="349">
        <f>IF(SUM($B$71:AM71)+SUM($A$78:AL78)&gt;0,0,SUM($B$71:AM71)-SUM($A$78:AL78))</f>
        <v>0</v>
      </c>
      <c r="AN78" s="349">
        <f>IF(SUM($B$71:AN71)+SUM($A$78:AM78)&gt;0,0,SUM($B$71:AN71)-SUM($A$78:AM78))</f>
        <v>0</v>
      </c>
      <c r="AO78" s="349">
        <f>IF(SUM($B$71:AO71)+SUM($A$78:AN78)&gt;0,0,SUM($B$71:AO71)-SUM($A$78:AN78))</f>
        <v>0</v>
      </c>
      <c r="AP78" s="349">
        <f>IF(SUM($B$71:AP71)+SUM($A$78:AO78)&gt;0,0,SUM($B$71:AP71)-SUM($A$78:AO78))</f>
        <v>0</v>
      </c>
    </row>
    <row r="79" spans="1:45" x14ac:dyDescent="0.2">
      <c r="A79" s="122" t="s">
        <v>219</v>
      </c>
      <c r="B79" s="349">
        <f>IF(((SUM($B$59:B59)+SUM($B$61:B64))+SUM($B$81:B81))&lt;0,((SUM($B$59:B59)+SUM($B$61:B64))+SUM($B$81:B81))*0.18-SUM($A$79:A79),IF(SUM(A$79:$B79)&lt;0,0-SUM(A$79:$B79),0))</f>
        <v>-8.9999999664723863E-3</v>
      </c>
      <c r="C79" s="349">
        <f>IF(((SUM($B$59:C59)+SUM($B$61:C64))+SUM($B$81:C81))&lt;0,((SUM($B$59:C59)+SUM($B$61:C64))+SUM($B$81:C81))*0.18-SUM($A$79:B79),IF(SUM($B$79:B79)&lt;0,0-SUM($B$79:B79),0))</f>
        <v>-42016.566117037772</v>
      </c>
      <c r="D79" s="349">
        <f>IF(((SUM($B$59:D59)+SUM($B$61:D64))+SUM($B$81:D81))&lt;0,((SUM($B$59:D59)+SUM($B$61:D64))+SUM($B$81:D81))*0.18-SUM($A$79:C79),IF(SUM($B$79:C79)&lt;0,0-SUM($B$79:C79),0))</f>
        <v>-43781.261893953349</v>
      </c>
      <c r="E79" s="349">
        <f>IF(((SUM($B$59:E59)+SUM($B$61:E64))+SUM($B$81:E81))&lt;0,((SUM($B$59:E59)+SUM($B$61:E64))+SUM($B$81:E81))*0.18-SUM($A$79:D79),IF(SUM($B$79:D79)&lt;0,0-SUM($B$79:D79),0))</f>
        <v>-45620.074893499346</v>
      </c>
      <c r="F79" s="349">
        <f>IF(((SUM($B$59:F59)+SUM($B$61:F64))+SUM($B$81:F81))&lt;0,((SUM($B$59:F59)+SUM($B$61:F64))+SUM($B$81:F81))*0.18-SUM($A$79:E79),IF(SUM($B$79:E79)&lt;0,0-SUM($B$79:E79),0))</f>
        <v>-47536.118039026333</v>
      </c>
      <c r="G79" s="349">
        <f>IF(((SUM($B$59:G59)+SUM($B$61:G64))+SUM($B$81:G81))&lt;0,((SUM($B$59:G59)+SUM($B$61:G64))+SUM($B$81:G81))*0.18-SUM($A$79:F79),IF(SUM($B$79:F79)&lt;0,0-SUM($B$79:F79),0))</f>
        <v>-49532.634996665409</v>
      </c>
      <c r="H79" s="349">
        <f>IF(((SUM($B$59:H59)+SUM($B$61:H64))+SUM($B$81:H81))&lt;0,((SUM($B$59:H59)+SUM($B$61:H64))+SUM($B$81:H81))*0.18-SUM($A$79:G79),IF(SUM($B$79:G79)&lt;0,0-SUM($B$79:G79),0))</f>
        <v>-51613.005666525511</v>
      </c>
      <c r="I79" s="349">
        <f>IF(((SUM($B$59:I59)+SUM($B$61:I64))+SUM($B$81:I81))&lt;0,((SUM($B$59:I59)+SUM($B$61:I64))+SUM($B$81:I81))*0.18-SUM($A$79:H79),IF(SUM($B$79:H79)&lt;0,0-SUM($B$79:H79),0))</f>
        <v>-53780.751904519508</v>
      </c>
      <c r="J79" s="349">
        <f>IF(((SUM($B$59:J59)+SUM($B$61:J64))+SUM($B$81:J81))&lt;0,((SUM($B$59:J59)+SUM($B$61:J64))+SUM($B$81:J81))*0.18-SUM($A$79:I79),IF(SUM($B$79:I79)&lt;0,0-SUM($B$79:I79),0))</f>
        <v>-56039.543484509224</v>
      </c>
      <c r="K79" s="349">
        <f>IF(((SUM($B$59:K59)+SUM($B$61:K64))+SUM($B$81:K81))&lt;0,((SUM($B$59:K59)+SUM($B$61:K64))+SUM($B$81:K81))*0.18-SUM($A$79:J79),IF(SUM($B$79:J79)&lt;0,0-SUM($B$79:J79),0))</f>
        <v>-58393.20431085868</v>
      </c>
      <c r="L79" s="349">
        <f>IF(((SUM($B$59:L59)+SUM($B$61:L64))+SUM($B$81:L81))&lt;0,((SUM($B$59:L59)+SUM($B$61:L64))+SUM($B$81:L81))*0.18-SUM($A$79:K79),IF(SUM($B$79:K79)&lt;0,0-SUM($B$79:K79),0))</f>
        <v>-60845.718891914818</v>
      </c>
      <c r="M79" s="349">
        <f>IF(((SUM($B$59:M59)+SUM($B$61:M64))+SUM($B$81:M81))&lt;0,((SUM($B$59:M59)+SUM($B$61:M64))+SUM($B$81:M81))*0.18-SUM($A$79:L79),IF(SUM($B$79:L79)&lt;0,0-SUM($B$79:L79),0))</f>
        <v>-63401.239085375157</v>
      </c>
      <c r="N79" s="349">
        <f>IF(((SUM($B$59:N59)+SUM($B$61:N64))+SUM($B$81:N81))&lt;0,((SUM($B$59:N59)+SUM($B$61:N64))+SUM($B$81:N81))*0.18-SUM($A$79:M79),IF(SUM($B$79:M79)&lt;0,0-SUM($B$79:M79),0))</f>
        <v>-66064.091126960935</v>
      </c>
      <c r="O79" s="349">
        <f>IF(((SUM($B$59:O59)+SUM($B$61:O64))+SUM($B$81:O81))&lt;0,((SUM($B$59:O59)+SUM($B$61:O64))+SUM($B$81:O81))*0.18-SUM($A$79:N79),IF(SUM($B$79:N79)&lt;0,0-SUM($B$79:N79),0))</f>
        <v>-68838.782954293303</v>
      </c>
      <c r="P79" s="349">
        <f>IF(((SUM($B$59:P59)+SUM($B$61:P64))+SUM($B$81:P81))&lt;0,((SUM($B$59:P59)+SUM($B$61:P64))+SUM($B$81:P81))*0.18-SUM($A$79:O79),IF(SUM($B$79:O79)&lt;0,0-SUM($B$79:O79),0))</f>
        <v>-71730.011838373612</v>
      </c>
      <c r="Q79" s="349">
        <f>IF(((SUM($B$59:Q59)+SUM($B$61:Q64))+SUM($B$81:Q81))&lt;0,((SUM($B$59:Q59)+SUM($B$61:Q64))+SUM($B$81:Q81))*0.18-SUM($A$79:P79),IF(SUM($B$79:P79)&lt;0,0-SUM($B$79:P79),0))</f>
        <v>-74742.672335585346</v>
      </c>
      <c r="R79" s="349">
        <f>IF(((SUM($B$59:R59)+SUM($B$61:R64))+SUM($B$81:R81))&lt;0,((SUM($B$59:R59)+SUM($B$61:R64))+SUM($B$81:R81))*0.18-SUM($A$79:Q79),IF(SUM($B$79:Q79)&lt;0,0-SUM($B$79:Q79),0))</f>
        <v>-77881.864573679864</v>
      </c>
      <c r="S79" s="349">
        <f>IF(((SUM($B$59:S59)+SUM($B$61:S64))+SUM($B$81:S81))&lt;0,((SUM($B$59:S59)+SUM($B$61:S64))+SUM($B$81:S81))*0.18-SUM($A$79:R79),IF(SUM($B$79:R79)&lt;0,0-SUM($B$79:R79),0))</f>
        <v>-81152.9028857745</v>
      </c>
      <c r="T79" s="349">
        <f>IF(((SUM($B$59:T59)+SUM($B$61:T64))+SUM($B$81:T81))&lt;0,((SUM($B$59:T59)+SUM($B$61:T64))+SUM($B$81:T81))*0.18-SUM($A$79:S79),IF(SUM($B$79:S79)&lt;0,0-SUM($B$79:S79),0))</f>
        <v>-84561.324806977063</v>
      </c>
      <c r="U79" s="349">
        <f>IF(((SUM($B$59:U59)+SUM($B$61:U64))+SUM($B$81:U81))&lt;0,((SUM($B$59:U59)+SUM($B$61:U64))+SUM($B$81:U81))*0.18-SUM($A$79:T79),IF(SUM($B$79:T79)&lt;0,0-SUM($B$79:T79),0))</f>
        <v>-88112.900448869914</v>
      </c>
      <c r="V79" s="349">
        <f>IF(((SUM($B$59:V59)+SUM($B$61:V64))+SUM($B$81:V81))&lt;0,((SUM($B$59:V59)+SUM($B$61:V64))+SUM($B$81:V81))*0.18-SUM($A$79:U79),IF(SUM($B$79:U79)&lt;0,0-SUM($B$79:U79),0))</f>
        <v>-91813.642267722636</v>
      </c>
      <c r="W79" s="349">
        <f>IF(((SUM($B$59:W59)+SUM($B$61:W64))+SUM($B$81:W81))&lt;0,((SUM($B$59:W59)+SUM($B$61:W64))+SUM($B$81:W81))*0.18-SUM($A$79:V79),IF(SUM($B$79:V79)&lt;0,0-SUM($B$79:V79),0))</f>
        <v>-95669.81524296687</v>
      </c>
      <c r="X79" s="349">
        <f>IF(((SUM($B$59:X59)+SUM($B$61:X64))+SUM($B$81:X81))&lt;0,((SUM($B$59:X59)+SUM($B$61:X64))+SUM($B$81:X81))*0.18-SUM($A$79:W79),IF(SUM($B$79:W79)&lt;0,0-SUM($B$79:W79),0))</f>
        <v>-99687.947483171476</v>
      </c>
      <c r="Y79" s="349">
        <f>IF(((SUM($B$59:Y59)+SUM($B$61:Y64))+SUM($B$81:Y81))&lt;0,((SUM($B$59:Y59)+SUM($B$61:Y64))+SUM($B$81:Y81))*0.18-SUM($A$79:X79),IF(SUM($B$79:X79)&lt;0,0-SUM($B$79:X79),0))</f>
        <v>-103874.84127746476</v>
      </c>
      <c r="Z79" s="349">
        <f>IF(((SUM($B$59:Z59)+SUM($B$61:Z64))+SUM($B$81:Z81))&lt;0,((SUM($B$59:Z59)+SUM($B$61:Z64))+SUM($B$81:Z81))*0.18-SUM($A$79:Y79),IF(SUM($B$79:Y79)&lt;0,0-SUM($B$79:Y79),0))</f>
        <v>-108237.58461111807</v>
      </c>
      <c r="AA79" s="349">
        <f>IF(((SUM($B$59:AA59)+SUM($B$61:AA64))+SUM($B$81:AA81))&lt;0,((SUM($B$59:AA59)+SUM($B$61:AA64))+SUM($B$81:AA81))*0.18-SUM($A$79:Z79),IF(SUM($B$79:Z79)&lt;0,0-SUM($B$79:Z79),0))</f>
        <v>-112783.56316478527</v>
      </c>
      <c r="AB79" s="349">
        <f>IF(((SUM($B$59:AB59)+SUM($B$61:AB64))+SUM($B$81:AB81))&lt;0,((SUM($B$59:AB59)+SUM($B$61:AB64))+SUM($B$81:AB81))*0.18-SUM($A$79:AA79),IF(SUM($B$79:AA79)&lt;0,0-SUM($B$79:AA79),0))</f>
        <v>-117520.47281770618</v>
      </c>
      <c r="AC79" s="349">
        <f>IF(((SUM($B$59:AC59)+SUM($B$61:AC64))+SUM($B$81:AC81))&lt;0,((SUM($B$59:AC59)+SUM($B$61:AC64))+SUM($B$81:AC81))*0.18-SUM($A$79:AB79),IF(SUM($B$79:AB79)&lt;0,0-SUM($B$79:AB79),0))</f>
        <v>-122456.33267604979</v>
      </c>
      <c r="AD79" s="349">
        <f>IF(((SUM($B$59:AD59)+SUM($B$61:AD64))+SUM($B$81:AD81))&lt;0,((SUM($B$59:AD59)+SUM($B$61:AD64))+SUM($B$81:AD81))*0.18-SUM($A$79:AC79),IF(SUM($B$79:AC79)&lt;0,0-SUM($B$79:AC79),0))</f>
        <v>-127599.49864844442</v>
      </c>
      <c r="AE79" s="349">
        <f>IF(((SUM($B$59:AE59)+SUM($B$61:AE64))+SUM($B$81:AE81))&lt;0,((SUM($B$59:AE59)+SUM($B$61:AE64))+SUM($B$81:AE81))*0.18-SUM($A$79:AD79),IF(SUM($B$79:AD79)&lt;0,0-SUM($B$79:AD79),0))</f>
        <v>-132958.67759167869</v>
      </c>
      <c r="AF79" s="349">
        <f>IF(((SUM($B$59:AF59)+SUM($B$61:AF64))+SUM($B$81:AF81))&lt;0,((SUM($B$59:AF59)+SUM($B$61:AF64))+SUM($B$81:AF81))*0.18-SUM($A$79:AE79),IF(SUM($B$79:AE79)&lt;0,0-SUM($B$79:AE79),0))</f>
        <v>-138542.94205052918</v>
      </c>
      <c r="AG79" s="349">
        <f>IF(((SUM($B$59:AG59)+SUM($B$61:AG64))+SUM($B$81:AG81))&lt;0,((SUM($B$59:AG59)+SUM($B$61:AG64))+SUM($B$81:AG81))*0.18-SUM($A$79:AF79),IF(SUM($B$79:AF79)&lt;0,0-SUM($B$79:AF79),0))</f>
        <v>-144361.74561665114</v>
      </c>
      <c r="AH79" s="349">
        <f>IF(((SUM($B$59:AH59)+SUM($B$61:AH64))+SUM($B$81:AH81))&lt;0,((SUM($B$59:AH59)+SUM($B$61:AH64))+SUM($B$81:AH81))*0.18-SUM($A$79:AG79),IF(SUM($B$79:AG79)&lt;0,0-SUM($B$79:AG79),0))</f>
        <v>-150424.93893255061</v>
      </c>
      <c r="AI79" s="349">
        <f>IF(((SUM($B$59:AI59)+SUM($B$61:AI64))+SUM($B$81:AI81))&lt;0,((SUM($B$59:AI59)+SUM($B$61:AI64))+SUM($B$81:AI81))*0.18-SUM($A$79:AH79),IF(SUM($B$79:AH79)&lt;0,0-SUM($B$79:AH79),0))</f>
        <v>-156742.78636771813</v>
      </c>
      <c r="AJ79" s="349">
        <f>IF(((SUM($B$59:AJ59)+SUM($B$61:AJ64))+SUM($B$81:AJ81))&lt;0,((SUM($B$59:AJ59)+SUM($B$61:AJ64))+SUM($B$81:AJ81))*0.18-SUM($A$79:AI79),IF(SUM($B$79:AI79)&lt;0,0-SUM($B$79:AI79),0))</f>
        <v>-163325.9833951625</v>
      </c>
      <c r="AK79" s="349">
        <f>IF(((SUM($B$59:AK59)+SUM($B$61:AK64))+SUM($B$81:AK81))&lt;0,((SUM($B$59:AK59)+SUM($B$61:AK64))+SUM($B$81:AK81))*0.18-SUM($A$79:AJ79),IF(SUM($B$79:AJ79)&lt;0,0-SUM($B$79:AJ79),0))</f>
        <v>-170185.67469775863</v>
      </c>
      <c r="AL79" s="349">
        <f>IF(((SUM($B$59:AL59)+SUM($B$61:AL64))+SUM($B$81:AL81))&lt;0,((SUM($B$59:AL59)+SUM($B$61:AL64))+SUM($B$81:AL81))*0.18-SUM($A$79:AK79),IF(SUM($B$79:AK79)&lt;0,0-SUM($B$79:AK79),0))</f>
        <v>-177333.47303506499</v>
      </c>
      <c r="AM79" s="349">
        <f>IF(((SUM($B$59:AM59)+SUM($B$61:AM64))+SUM($B$81:AM81))&lt;0,((SUM($B$59:AM59)+SUM($B$61:AM64))+SUM($B$81:AM81))*0.18-SUM($A$79:AL79),IF(SUM($B$79:AL79)&lt;0,0-SUM($B$79:AL79),0))</f>
        <v>-184781.47890253784</v>
      </c>
      <c r="AN79" s="349">
        <f>IF(((SUM($B$59:AN59)+SUM($B$61:AN64))+SUM($B$81:AN81))&lt;0,((SUM($B$59:AN59)+SUM($B$61:AN64))+SUM($B$81:AN81))*0.18-SUM($A$79:AM79),IF(SUM($B$79:AM79)&lt;0,0-SUM($B$79:AM79),0))</f>
        <v>-192542.30101644387</v>
      </c>
      <c r="AO79" s="349">
        <f>IF(((SUM($B$59:AO59)+SUM($B$61:AO64))+SUM($B$81:AO81))&lt;0,((SUM($B$59:AO59)+SUM($B$61:AO64))+SUM($B$81:AO81))*0.18-SUM($A$79:AN79),IF(SUM($B$79:AN79)&lt;0,0-SUM($B$79:AN79),0))</f>
        <v>-200629.07765913475</v>
      </c>
      <c r="AP79" s="349">
        <f>IF(((SUM($B$59:AP59)+SUM($B$61:AP64))+SUM($B$81:AP81))&lt;0,((SUM($B$59:AP59)+SUM($B$61:AP64))+SUM($B$81:AP81))*0.18-SUM($A$79:AO79),IF(SUM($B$79:AO79)&lt;0,0-SUM($B$79:AO79),0))</f>
        <v>-209055.49892081833</v>
      </c>
    </row>
    <row r="80" spans="1:45" x14ac:dyDescent="0.2">
      <c r="A80" s="122" t="s">
        <v>218</v>
      </c>
      <c r="B80" s="349">
        <f>-B59*(B39)</f>
        <v>0</v>
      </c>
      <c r="C80" s="349">
        <f t="shared" ref="C80:AP80" si="26">-(C59-B59)*$B$39</f>
        <v>0</v>
      </c>
      <c r="D80" s="349">
        <f t="shared" si="26"/>
        <v>0</v>
      </c>
      <c r="E80" s="349">
        <f t="shared" si="26"/>
        <v>0</v>
      </c>
      <c r="F80" s="349">
        <f t="shared" si="26"/>
        <v>0</v>
      </c>
      <c r="G80" s="349">
        <f t="shared" si="26"/>
        <v>0</v>
      </c>
      <c r="H80" s="349">
        <f t="shared" si="26"/>
        <v>0</v>
      </c>
      <c r="I80" s="349">
        <f t="shared" si="26"/>
        <v>0</v>
      </c>
      <c r="J80" s="349">
        <f t="shared" si="26"/>
        <v>0</v>
      </c>
      <c r="K80" s="349">
        <f t="shared" si="26"/>
        <v>0</v>
      </c>
      <c r="L80" s="349">
        <f t="shared" si="26"/>
        <v>0</v>
      </c>
      <c r="M80" s="349">
        <f t="shared" si="26"/>
        <v>0</v>
      </c>
      <c r="N80" s="349">
        <f t="shared" si="26"/>
        <v>0</v>
      </c>
      <c r="O80" s="349">
        <f t="shared" si="26"/>
        <v>0</v>
      </c>
      <c r="P80" s="349">
        <f t="shared" si="26"/>
        <v>0</v>
      </c>
      <c r="Q80" s="349">
        <f t="shared" si="26"/>
        <v>0</v>
      </c>
      <c r="R80" s="349">
        <f t="shared" si="26"/>
        <v>0</v>
      </c>
      <c r="S80" s="349">
        <f t="shared" si="26"/>
        <v>0</v>
      </c>
      <c r="T80" s="349">
        <f t="shared" si="26"/>
        <v>0</v>
      </c>
      <c r="U80" s="349">
        <f t="shared" si="26"/>
        <v>0</v>
      </c>
      <c r="V80" s="349">
        <f t="shared" si="26"/>
        <v>0</v>
      </c>
      <c r="W80" s="349">
        <f t="shared" si="26"/>
        <v>0</v>
      </c>
      <c r="X80" s="349">
        <f t="shared" si="26"/>
        <v>0</v>
      </c>
      <c r="Y80" s="349">
        <f t="shared" si="26"/>
        <v>0</v>
      </c>
      <c r="Z80" s="349">
        <f t="shared" si="26"/>
        <v>0</v>
      </c>
      <c r="AA80" s="349">
        <f t="shared" si="26"/>
        <v>0</v>
      </c>
      <c r="AB80" s="349">
        <f t="shared" si="26"/>
        <v>0</v>
      </c>
      <c r="AC80" s="349">
        <f t="shared" si="26"/>
        <v>0</v>
      </c>
      <c r="AD80" s="349">
        <f t="shared" si="26"/>
        <v>0</v>
      </c>
      <c r="AE80" s="349">
        <f t="shared" si="26"/>
        <v>0</v>
      </c>
      <c r="AF80" s="349">
        <f t="shared" si="26"/>
        <v>0</v>
      </c>
      <c r="AG80" s="349">
        <f t="shared" si="26"/>
        <v>0</v>
      </c>
      <c r="AH80" s="349">
        <f t="shared" si="26"/>
        <v>0</v>
      </c>
      <c r="AI80" s="349">
        <f t="shared" si="26"/>
        <v>0</v>
      </c>
      <c r="AJ80" s="349">
        <f t="shared" si="26"/>
        <v>0</v>
      </c>
      <c r="AK80" s="349">
        <f t="shared" si="26"/>
        <v>0</v>
      </c>
      <c r="AL80" s="349">
        <f t="shared" si="26"/>
        <v>0</v>
      </c>
      <c r="AM80" s="349">
        <f t="shared" si="26"/>
        <v>0</v>
      </c>
      <c r="AN80" s="349">
        <f t="shared" si="26"/>
        <v>0</v>
      </c>
      <c r="AO80" s="349">
        <f t="shared" si="26"/>
        <v>0</v>
      </c>
      <c r="AP80" s="349">
        <f t="shared" si="26"/>
        <v>0</v>
      </c>
    </row>
    <row r="81" spans="1:45" x14ac:dyDescent="0.2">
      <c r="A81" s="122" t="s">
        <v>395</v>
      </c>
      <c r="B81" s="349">
        <f>-$B$126</f>
        <v>-6043990</v>
      </c>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279">
        <f>SUM(B81:AP81)</f>
        <v>-6043990</v>
      </c>
      <c r="AR81" s="280"/>
    </row>
    <row r="82" spans="1:45" x14ac:dyDescent="0.2">
      <c r="A82" s="122" t="s">
        <v>217</v>
      </c>
      <c r="B82" s="349">
        <f t="shared" ref="B82:AO82" si="27">B54-B55</f>
        <v>0</v>
      </c>
      <c r="C82" s="349">
        <f t="shared" si="27"/>
        <v>0</v>
      </c>
      <c r="D82" s="349">
        <f t="shared" si="27"/>
        <v>0</v>
      </c>
      <c r="E82" s="349">
        <f t="shared" si="27"/>
        <v>0</v>
      </c>
      <c r="F82" s="349">
        <f t="shared" si="27"/>
        <v>0</v>
      </c>
      <c r="G82" s="349">
        <f t="shared" si="27"/>
        <v>0</v>
      </c>
      <c r="H82" s="349">
        <f t="shared" si="27"/>
        <v>0</v>
      </c>
      <c r="I82" s="349">
        <f t="shared" si="27"/>
        <v>0</v>
      </c>
      <c r="J82" s="349">
        <f t="shared" si="27"/>
        <v>0</v>
      </c>
      <c r="K82" s="349">
        <f t="shared" si="27"/>
        <v>0</v>
      </c>
      <c r="L82" s="349">
        <f t="shared" si="27"/>
        <v>0</v>
      </c>
      <c r="M82" s="349">
        <f t="shared" si="27"/>
        <v>0</v>
      </c>
      <c r="N82" s="349">
        <f t="shared" si="27"/>
        <v>0</v>
      </c>
      <c r="O82" s="349">
        <f t="shared" si="27"/>
        <v>0</v>
      </c>
      <c r="P82" s="349">
        <f t="shared" si="27"/>
        <v>0</v>
      </c>
      <c r="Q82" s="349">
        <f t="shared" si="27"/>
        <v>0</v>
      </c>
      <c r="R82" s="349">
        <f t="shared" si="27"/>
        <v>0</v>
      </c>
      <c r="S82" s="349">
        <f t="shared" si="27"/>
        <v>0</v>
      </c>
      <c r="T82" s="349">
        <f t="shared" si="27"/>
        <v>0</v>
      </c>
      <c r="U82" s="349">
        <f t="shared" si="27"/>
        <v>0</v>
      </c>
      <c r="V82" s="349">
        <f t="shared" si="27"/>
        <v>0</v>
      </c>
      <c r="W82" s="349">
        <f t="shared" si="27"/>
        <v>0</v>
      </c>
      <c r="X82" s="349">
        <f t="shared" si="27"/>
        <v>0</v>
      </c>
      <c r="Y82" s="349">
        <f t="shared" si="27"/>
        <v>0</v>
      </c>
      <c r="Z82" s="349">
        <f t="shared" si="27"/>
        <v>0</v>
      </c>
      <c r="AA82" s="349">
        <f t="shared" si="27"/>
        <v>0</v>
      </c>
      <c r="AB82" s="349">
        <f t="shared" si="27"/>
        <v>0</v>
      </c>
      <c r="AC82" s="349">
        <f t="shared" si="27"/>
        <v>0</v>
      </c>
      <c r="AD82" s="349">
        <f t="shared" si="27"/>
        <v>0</v>
      </c>
      <c r="AE82" s="349">
        <f t="shared" si="27"/>
        <v>0</v>
      </c>
      <c r="AF82" s="349">
        <f t="shared" si="27"/>
        <v>0</v>
      </c>
      <c r="AG82" s="349">
        <f t="shared" si="27"/>
        <v>0</v>
      </c>
      <c r="AH82" s="349">
        <f t="shared" si="27"/>
        <v>0</v>
      </c>
      <c r="AI82" s="349">
        <f t="shared" si="27"/>
        <v>0</v>
      </c>
      <c r="AJ82" s="349">
        <f t="shared" si="27"/>
        <v>0</v>
      </c>
      <c r="AK82" s="349">
        <f t="shared" si="27"/>
        <v>0</v>
      </c>
      <c r="AL82" s="349">
        <f t="shared" si="27"/>
        <v>0</v>
      </c>
      <c r="AM82" s="349">
        <f t="shared" si="27"/>
        <v>0</v>
      </c>
      <c r="AN82" s="349">
        <f t="shared" si="27"/>
        <v>0</v>
      </c>
      <c r="AO82" s="349">
        <f t="shared" si="27"/>
        <v>0</v>
      </c>
      <c r="AP82" s="349">
        <f>AP54-AP55</f>
        <v>0</v>
      </c>
    </row>
    <row r="83" spans="1:45" ht="14.25" x14ac:dyDescent="0.2">
      <c r="A83" s="278" t="s">
        <v>216</v>
      </c>
      <c r="B83" s="350">
        <f>SUM(B75:B82)</f>
        <v>-1208798.0489999996</v>
      </c>
      <c r="C83" s="350">
        <f t="shared" ref="C83:V83" si="28">SUM(C75:C82)</f>
        <v>-189135.1477483167</v>
      </c>
      <c r="D83" s="350">
        <f t="shared" si="28"/>
        <v>-198742.93586707927</v>
      </c>
      <c r="E83" s="350">
        <f t="shared" si="28"/>
        <v>-208754.2510868299</v>
      </c>
      <c r="F83" s="350">
        <f t="shared" si="28"/>
        <v>-219186.04154581006</v>
      </c>
      <c r="G83" s="350">
        <f t="shared" si="28"/>
        <v>-230055.96720406739</v>
      </c>
      <c r="H83" s="350">
        <f t="shared" si="28"/>
        <v>-241382.42973997182</v>
      </c>
      <c r="I83" s="350">
        <f t="shared" si="28"/>
        <v>-253184.60370238387</v>
      </c>
      <c r="J83" s="350">
        <f t="shared" si="28"/>
        <v>-265482.46897121723</v>
      </c>
      <c r="K83" s="350">
        <f t="shared" si="28"/>
        <v>-278296.84458134178</v>
      </c>
      <c r="L83" s="350">
        <f t="shared" si="28"/>
        <v>-291649.42396709148</v>
      </c>
      <c r="M83" s="350">
        <f t="shared" si="28"/>
        <v>-305562.81168704265</v>
      </c>
      <c r="N83" s="350">
        <f t="shared" si="28"/>
        <v>-320060.56169123173</v>
      </c>
      <c r="O83" s="350">
        <f t="shared" si="28"/>
        <v>-451276.46603370056</v>
      </c>
      <c r="P83" s="350">
        <f t="shared" si="28"/>
        <v>-470230.07760711591</v>
      </c>
      <c r="Q83" s="350">
        <f t="shared" si="28"/>
        <v>-489979.74086661491</v>
      </c>
      <c r="R83" s="350">
        <f t="shared" si="28"/>
        <v>-510558.88998301263</v>
      </c>
      <c r="S83" s="350">
        <f t="shared" si="28"/>
        <v>-532002.36336229928</v>
      </c>
      <c r="T83" s="350">
        <f t="shared" si="28"/>
        <v>-554346.46262351586</v>
      </c>
      <c r="U83" s="350">
        <f t="shared" si="28"/>
        <v>-577629.01405370352</v>
      </c>
      <c r="V83" s="350">
        <f t="shared" si="28"/>
        <v>-601889.43264395907</v>
      </c>
      <c r="W83" s="350">
        <f>SUM(W75:W82)</f>
        <v>-627168.78881500522</v>
      </c>
      <c r="X83" s="350">
        <f>SUM(X75:X82)</f>
        <v>-653509.87794523546</v>
      </c>
      <c r="Y83" s="350">
        <f>SUM(Y75:Y82)</f>
        <v>-680957.29281893559</v>
      </c>
      <c r="Z83" s="350">
        <f>SUM(Z75:Z82)</f>
        <v>-709557.49911733065</v>
      </c>
      <c r="AA83" s="350">
        <f t="shared" ref="AA83:AP83" si="29">SUM(AA75:AA82)</f>
        <v>-739358.91408025892</v>
      </c>
      <c r="AB83" s="350">
        <f t="shared" si="29"/>
        <v>-770411.9884716298</v>
      </c>
      <c r="AC83" s="350">
        <f t="shared" si="29"/>
        <v>-802769.29198743822</v>
      </c>
      <c r="AD83" s="350">
        <f t="shared" si="29"/>
        <v>-836485.6022509113</v>
      </c>
      <c r="AE83" s="350">
        <f t="shared" si="29"/>
        <v>-871617.99754544906</v>
      </c>
      <c r="AF83" s="350">
        <f t="shared" si="29"/>
        <v>-908225.95344235795</v>
      </c>
      <c r="AG83" s="350">
        <f t="shared" si="29"/>
        <v>-946371.44348693662</v>
      </c>
      <c r="AH83" s="350">
        <f t="shared" si="29"/>
        <v>-986119.04411338805</v>
      </c>
      <c r="AI83" s="350">
        <f t="shared" si="29"/>
        <v>-1027536.0439661508</v>
      </c>
      <c r="AJ83" s="350">
        <f t="shared" si="29"/>
        <v>-1070692.5578127294</v>
      </c>
      <c r="AK83" s="350">
        <f t="shared" si="29"/>
        <v>-1115661.6452408633</v>
      </c>
      <c r="AL83" s="350">
        <f t="shared" si="29"/>
        <v>-1162519.4343409804</v>
      </c>
      <c r="AM83" s="350">
        <f t="shared" si="29"/>
        <v>-1211345.2505833018</v>
      </c>
      <c r="AN83" s="350">
        <f t="shared" si="29"/>
        <v>-1262221.7511077998</v>
      </c>
      <c r="AO83" s="350">
        <f t="shared" si="29"/>
        <v>-1315235.0646543279</v>
      </c>
      <c r="AP83" s="350">
        <f t="shared" si="29"/>
        <v>-1370474.9373698095</v>
      </c>
    </row>
    <row r="84" spans="1:45" ht="14.25" x14ac:dyDescent="0.2">
      <c r="A84" s="278" t="s">
        <v>547</v>
      </c>
      <c r="B84" s="350">
        <f>SUM($B$83:B83)</f>
        <v>-1208798.0489999996</v>
      </c>
      <c r="C84" s="350">
        <f>SUM($B$83:C83)</f>
        <v>-1397933.1967483163</v>
      </c>
      <c r="D84" s="350">
        <f>SUM($B$83:D83)</f>
        <v>-1596676.1326153956</v>
      </c>
      <c r="E84" s="350">
        <f>SUM($B$83:E83)</f>
        <v>-1805430.3837022255</v>
      </c>
      <c r="F84" s="350">
        <f>SUM($B$83:F83)</f>
        <v>-2024616.4252480357</v>
      </c>
      <c r="G84" s="350">
        <f>SUM($B$83:G83)</f>
        <v>-2254672.3924521031</v>
      </c>
      <c r="H84" s="350">
        <f>SUM($B$83:H83)</f>
        <v>-2496054.8221920747</v>
      </c>
      <c r="I84" s="350">
        <f>SUM($B$83:I83)</f>
        <v>-2749239.4258944588</v>
      </c>
      <c r="J84" s="350">
        <f>SUM($B$83:J83)</f>
        <v>-3014721.8948656758</v>
      </c>
      <c r="K84" s="350">
        <f>SUM($B$83:K83)</f>
        <v>-3293018.7394470177</v>
      </c>
      <c r="L84" s="350">
        <f>SUM($B$83:L83)</f>
        <v>-3584668.163414109</v>
      </c>
      <c r="M84" s="350">
        <f>SUM($B$83:M83)</f>
        <v>-3890230.9751011515</v>
      </c>
      <c r="N84" s="350">
        <f>SUM($B$83:N83)</f>
        <v>-4210291.5367923835</v>
      </c>
      <c r="O84" s="350">
        <f>SUM($B$83:O83)</f>
        <v>-4661568.0028260844</v>
      </c>
      <c r="P84" s="350">
        <f>SUM($B$83:P83)</f>
        <v>-5131798.0804332001</v>
      </c>
      <c r="Q84" s="350">
        <f>SUM($B$83:Q83)</f>
        <v>-5621777.8212998146</v>
      </c>
      <c r="R84" s="350">
        <f>SUM($B$83:R83)</f>
        <v>-6132336.711282827</v>
      </c>
      <c r="S84" s="350">
        <f>SUM($B$83:S83)</f>
        <v>-6664339.0746451262</v>
      </c>
      <c r="T84" s="350">
        <f>SUM($B$83:T83)</f>
        <v>-7218685.5372686423</v>
      </c>
      <c r="U84" s="350">
        <f>SUM($B$83:U83)</f>
        <v>-7796314.5513223456</v>
      </c>
      <c r="V84" s="350">
        <f>SUM($B$83:V83)</f>
        <v>-8398203.983966304</v>
      </c>
      <c r="W84" s="350">
        <f>SUM($B$83:W83)</f>
        <v>-9025372.7727813087</v>
      </c>
      <c r="X84" s="350">
        <f>SUM($B$83:X83)</f>
        <v>-9678882.6507265437</v>
      </c>
      <c r="Y84" s="350">
        <f>SUM($B$83:Y83)</f>
        <v>-10359839.943545479</v>
      </c>
      <c r="Z84" s="350">
        <f>SUM($B$83:Z83)</f>
        <v>-11069397.442662809</v>
      </c>
      <c r="AA84" s="350">
        <f>SUM($B$83:AA83)</f>
        <v>-11808756.356743068</v>
      </c>
      <c r="AB84" s="350">
        <f>SUM($B$83:AB83)</f>
        <v>-12579168.345214697</v>
      </c>
      <c r="AC84" s="350">
        <f>SUM($B$83:AC83)</f>
        <v>-13381937.637202134</v>
      </c>
      <c r="AD84" s="350">
        <f>SUM($B$83:AD83)</f>
        <v>-14218423.239453046</v>
      </c>
      <c r="AE84" s="350">
        <f>SUM($B$83:AE83)</f>
        <v>-15090041.236998495</v>
      </c>
      <c r="AF84" s="350">
        <f>SUM($B$83:AF83)</f>
        <v>-15998267.190440852</v>
      </c>
      <c r="AG84" s="350">
        <f>SUM($B$83:AG83)</f>
        <v>-16944638.633927789</v>
      </c>
      <c r="AH84" s="350">
        <f>SUM($B$83:AH83)</f>
        <v>-17930757.678041175</v>
      </c>
      <c r="AI84" s="350">
        <f>SUM($B$83:AI83)</f>
        <v>-18958293.722007327</v>
      </c>
      <c r="AJ84" s="350">
        <f>SUM($B$83:AJ83)</f>
        <v>-20028986.279820055</v>
      </c>
      <c r="AK84" s="350">
        <f>SUM($B$83:AK83)</f>
        <v>-21144647.925060917</v>
      </c>
      <c r="AL84" s="350">
        <f>SUM($B$83:AL83)</f>
        <v>-22307167.359401897</v>
      </c>
      <c r="AM84" s="350">
        <f>SUM($B$83:AM83)</f>
        <v>-23518512.609985199</v>
      </c>
      <c r="AN84" s="350">
        <f>SUM($B$83:AN83)</f>
        <v>-24780734.361093</v>
      </c>
      <c r="AO84" s="350">
        <f>SUM($B$83:AO83)</f>
        <v>-26095969.425747328</v>
      </c>
      <c r="AP84" s="350">
        <f>SUM($B$83:AP83)</f>
        <v>-27466444.363117136</v>
      </c>
    </row>
    <row r="85" spans="1:45" x14ac:dyDescent="0.2">
      <c r="A85" s="122" t="s">
        <v>396</v>
      </c>
      <c r="B85" s="351">
        <f t="shared" ref="B85:AP85" si="30">1/POWER((1+$B$44),B73)</f>
        <v>0.29756660844415667</v>
      </c>
      <c r="C85" s="351">
        <f t="shared" si="30"/>
        <v>0.24694324352212174</v>
      </c>
      <c r="D85" s="351">
        <f t="shared" si="30"/>
        <v>0.20493215230051592</v>
      </c>
      <c r="E85" s="351">
        <f t="shared" si="30"/>
        <v>0.1700681761830008</v>
      </c>
      <c r="F85" s="351">
        <f t="shared" si="30"/>
        <v>0.14113541591950271</v>
      </c>
      <c r="G85" s="351">
        <f t="shared" si="30"/>
        <v>0.11712482648921385</v>
      </c>
      <c r="H85" s="351">
        <f t="shared" si="30"/>
        <v>9.719902613212765E-2</v>
      </c>
      <c r="I85" s="351">
        <f t="shared" si="30"/>
        <v>8.0663092225832109E-2</v>
      </c>
      <c r="J85" s="351">
        <f t="shared" si="30"/>
        <v>6.6940325498615838E-2</v>
      </c>
      <c r="K85" s="351">
        <f t="shared" si="30"/>
        <v>5.5552137343249659E-2</v>
      </c>
      <c r="L85" s="351">
        <f t="shared" si="30"/>
        <v>4.6101358791078552E-2</v>
      </c>
      <c r="M85" s="351">
        <f t="shared" si="30"/>
        <v>3.825838903823945E-2</v>
      </c>
      <c r="N85" s="351">
        <f t="shared" si="30"/>
        <v>3.174970044667174E-2</v>
      </c>
      <c r="O85" s="351">
        <f t="shared" si="30"/>
        <v>2.6348299125868668E-2</v>
      </c>
      <c r="P85" s="351">
        <f t="shared" si="30"/>
        <v>2.1865808403210511E-2</v>
      </c>
      <c r="Q85" s="351">
        <f t="shared" si="30"/>
        <v>1.814589908980126E-2</v>
      </c>
      <c r="R85" s="351">
        <f t="shared" si="30"/>
        <v>1.5058837418922204E-2</v>
      </c>
      <c r="S85" s="351">
        <f t="shared" si="30"/>
        <v>1.2496960513628384E-2</v>
      </c>
      <c r="T85" s="351">
        <f t="shared" si="30"/>
        <v>1.0370921588073345E-2</v>
      </c>
      <c r="U85" s="351">
        <f t="shared" si="30"/>
        <v>8.6065739320110735E-3</v>
      </c>
      <c r="V85" s="351">
        <f t="shared" si="30"/>
        <v>7.1423850058183183E-3</v>
      </c>
      <c r="W85" s="351">
        <f t="shared" si="30"/>
        <v>5.9272904612600145E-3</v>
      </c>
      <c r="X85" s="351">
        <f t="shared" si="30"/>
        <v>4.9189132458589318E-3</v>
      </c>
      <c r="Y85" s="351">
        <f t="shared" si="30"/>
        <v>4.082085681210732E-3</v>
      </c>
      <c r="Z85" s="351">
        <f t="shared" si="30"/>
        <v>3.3876229719591129E-3</v>
      </c>
      <c r="AA85" s="351">
        <f t="shared" si="30"/>
        <v>2.8113053709204251E-3</v>
      </c>
      <c r="AB85" s="351">
        <f t="shared" si="30"/>
        <v>2.3330335028385286E-3</v>
      </c>
      <c r="AC85" s="351">
        <f t="shared" si="30"/>
        <v>1.9361273882477412E-3</v>
      </c>
      <c r="AD85" s="351">
        <f t="shared" si="30"/>
        <v>1.6067447205375444E-3</v>
      </c>
      <c r="AE85" s="351">
        <f t="shared" si="30"/>
        <v>1.3333981083299121E-3</v>
      </c>
      <c r="AF85" s="351">
        <f t="shared" si="30"/>
        <v>1.1065544467468149E-3</v>
      </c>
      <c r="AG85" s="351">
        <f t="shared" si="30"/>
        <v>9.1830244543304122E-4</v>
      </c>
      <c r="AH85" s="351">
        <f t="shared" si="30"/>
        <v>7.6207671820169396E-4</v>
      </c>
      <c r="AI85" s="351">
        <f t="shared" si="30"/>
        <v>6.3242881178563804E-4</v>
      </c>
      <c r="AJ85" s="351">
        <f t="shared" si="30"/>
        <v>5.2483718820384888E-4</v>
      </c>
      <c r="AK85" s="351">
        <f t="shared" si="30"/>
        <v>4.3554953377912764E-4</v>
      </c>
      <c r="AL85" s="351">
        <f t="shared" si="30"/>
        <v>3.6145189525238806E-4</v>
      </c>
      <c r="AM85" s="351">
        <f t="shared" si="30"/>
        <v>2.9996007904762516E-4</v>
      </c>
      <c r="AN85" s="351">
        <f t="shared" si="30"/>
        <v>2.4892952618060153E-4</v>
      </c>
      <c r="AO85" s="351">
        <f t="shared" si="30"/>
        <v>2.0658051965195164E-4</v>
      </c>
      <c r="AP85" s="351">
        <f t="shared" si="30"/>
        <v>1.7143611589373562E-4</v>
      </c>
    </row>
    <row r="86" spans="1:45" ht="28.5" x14ac:dyDescent="0.2">
      <c r="A86" s="277" t="s">
        <v>548</v>
      </c>
      <c r="B86" s="350">
        <f>B83*B85</f>
        <v>-359697.93573484343</v>
      </c>
      <c r="C86" s="350">
        <f>C83*C85</f>
        <v>-46705.646849005047</v>
      </c>
      <c r="D86" s="350">
        <f t="shared" ref="D86:AO86" si="31">D83*D85</f>
        <v>-40728.817601763956</v>
      </c>
      <c r="E86" s="350">
        <f t="shared" si="31"/>
        <v>-35502.454752785372</v>
      </c>
      <c r="F86" s="350">
        <f t="shared" si="31"/>
        <v>-30934.913137317304</v>
      </c>
      <c r="G86" s="350">
        <f t="shared" si="31"/>
        <v>-26945.265241584664</v>
      </c>
      <c r="H86" s="350">
        <f t="shared" si="31"/>
        <v>-23462.137096131988</v>
      </c>
      <c r="I86" s="350">
        <f t="shared" si="31"/>
        <v>-20422.653038606142</v>
      </c>
      <c r="J86" s="350">
        <f t="shared" si="31"/>
        <v>-17771.482887109461</v>
      </c>
      <c r="K86" s="350">
        <f t="shared" si="31"/>
        <v>-15459.984532375704</v>
      </c>
      <c r="L86" s="350">
        <f t="shared" si="31"/>
        <v>-13445.434735518269</v>
      </c>
      <c r="M86" s="350">
        <f t="shared" si="31"/>
        <v>-11690.340925141178</v>
      </c>
      <c r="N86" s="350">
        <f t="shared" si="31"/>
        <v>-10161.826958490108</v>
      </c>
      <c r="O86" s="350">
        <f t="shared" si="31"/>
        <v>-11890.367315520854</v>
      </c>
      <c r="P86" s="350">
        <f t="shared" si="31"/>
        <v>-10281.960782384005</v>
      </c>
      <c r="Q86" s="350">
        <f t="shared" si="31"/>
        <v>-8891.122933812565</v>
      </c>
      <c r="R86" s="350">
        <f t="shared" si="31"/>
        <v>-7688.4233170395755</v>
      </c>
      <c r="S86" s="350">
        <f t="shared" si="31"/>
        <v>-6648.4125280956341</v>
      </c>
      <c r="T86" s="350">
        <f t="shared" si="31"/>
        <v>-5749.0836964943146</v>
      </c>
      <c r="U86" s="350">
        <f t="shared" si="31"/>
        <v>-4971.4068147278631</v>
      </c>
      <c r="V86" s="350">
        <f t="shared" si="31"/>
        <v>-4298.9260588767074</v>
      </c>
      <c r="W86" s="350">
        <f t="shared" si="31"/>
        <v>-3717.4115795431771</v>
      </c>
      <c r="X86" s="350">
        <f t="shared" si="31"/>
        <v>-3214.5583949244724</v>
      </c>
      <c r="Y86" s="350">
        <f t="shared" si="31"/>
        <v>-2779.7260145322007</v>
      </c>
      <c r="Z86" s="350">
        <f t="shared" si="31"/>
        <v>-2403.7132839357273</v>
      </c>
      <c r="AA86" s="350">
        <f t="shared" si="31"/>
        <v>-2078.5636861917251</v>
      </c>
      <c r="AB86" s="350">
        <f t="shared" si="31"/>
        <v>-1797.3969800927625</v>
      </c>
      <c r="AC86" s="350">
        <f t="shared" si="31"/>
        <v>-1554.2636126611271</v>
      </c>
      <c r="AD86" s="350">
        <f t="shared" si="31"/>
        <v>-1344.0188252223199</v>
      </c>
      <c r="AE86" s="350">
        <f t="shared" si="31"/>
        <v>-1162.2137891134078</v>
      </c>
      <c r="AF86" s="350">
        <f t="shared" si="31"/>
        <v>-1005.0014674325068</v>
      </c>
      <c r="AG86" s="350">
        <f t="shared" si="31"/>
        <v>-869.05521084205111</v>
      </c>
      <c r="AH86" s="350">
        <f t="shared" si="31"/>
        <v>-751.49836489412223</v>
      </c>
      <c r="AI86" s="350">
        <f t="shared" si="31"/>
        <v>-649.84339935242792</v>
      </c>
      <c r="AJ86" s="350">
        <f t="shared" si="31"/>
        <v>-561.93927147321983</v>
      </c>
      <c r="AK86" s="350">
        <f t="shared" si="31"/>
        <v>-485.92590943991252</v>
      </c>
      <c r="AL86" s="350">
        <f t="shared" si="31"/>
        <v>-420.19485281028147</v>
      </c>
      <c r="AM86" s="350">
        <f t="shared" si="31"/>
        <v>-363.3552171189325</v>
      </c>
      <c r="AN86" s="350">
        <f t="shared" si="31"/>
        <v>-314.20426243811374</v>
      </c>
      <c r="AO86" s="350">
        <f t="shared" si="31"/>
        <v>-271.70194312075927</v>
      </c>
      <c r="AP86" s="350">
        <f>AP83*AP85</f>
        <v>-234.94890019239074</v>
      </c>
    </row>
    <row r="87" spans="1:45" ht="14.25" x14ac:dyDescent="0.2">
      <c r="A87" s="277" t="s">
        <v>549</v>
      </c>
      <c r="B87" s="350">
        <f>SUM($B$86:B86)</f>
        <v>-359697.93573484343</v>
      </c>
      <c r="C87" s="350">
        <f>SUM($B$86:C86)</f>
        <v>-406403.5825838485</v>
      </c>
      <c r="D87" s="350">
        <f>SUM($B$86:D86)</f>
        <v>-447132.40018561244</v>
      </c>
      <c r="E87" s="350">
        <f>SUM($B$86:E86)</f>
        <v>-482634.85493839782</v>
      </c>
      <c r="F87" s="350">
        <f>SUM($B$86:F86)</f>
        <v>-513569.76807571511</v>
      </c>
      <c r="G87" s="350">
        <f>SUM($B$86:G86)</f>
        <v>-540515.03331729979</v>
      </c>
      <c r="H87" s="350">
        <f>SUM($B$86:H86)</f>
        <v>-563977.17041343183</v>
      </c>
      <c r="I87" s="350">
        <f>SUM($B$86:I86)</f>
        <v>-584399.82345203799</v>
      </c>
      <c r="J87" s="350">
        <f>SUM($B$86:J86)</f>
        <v>-602171.3063391475</v>
      </c>
      <c r="K87" s="350">
        <f>SUM($B$86:K86)</f>
        <v>-617631.2908715232</v>
      </c>
      <c r="L87" s="350">
        <f>SUM($B$86:L86)</f>
        <v>-631076.7256070415</v>
      </c>
      <c r="M87" s="350">
        <f>SUM($B$86:M86)</f>
        <v>-642767.06653218262</v>
      </c>
      <c r="N87" s="350">
        <f>SUM($B$86:N86)</f>
        <v>-652928.89349067269</v>
      </c>
      <c r="O87" s="350">
        <f>SUM($B$86:O86)</f>
        <v>-664819.26080619358</v>
      </c>
      <c r="P87" s="350">
        <f>SUM($B$86:P86)</f>
        <v>-675101.22158857761</v>
      </c>
      <c r="Q87" s="350">
        <f>SUM($B$86:Q86)</f>
        <v>-683992.34452239017</v>
      </c>
      <c r="R87" s="350">
        <f>SUM($B$86:R86)</f>
        <v>-691680.76783942978</v>
      </c>
      <c r="S87" s="350">
        <f>SUM($B$86:S86)</f>
        <v>-698329.18036752543</v>
      </c>
      <c r="T87" s="350">
        <f>SUM($B$86:T86)</f>
        <v>-704078.26406401978</v>
      </c>
      <c r="U87" s="350">
        <f>SUM($B$86:U86)</f>
        <v>-709049.67087874759</v>
      </c>
      <c r="V87" s="350">
        <f>SUM($B$86:V86)</f>
        <v>-713348.59693762427</v>
      </c>
      <c r="W87" s="350">
        <f>SUM($B$86:W86)</f>
        <v>-717066.00851716741</v>
      </c>
      <c r="X87" s="350">
        <f>SUM($B$86:X86)</f>
        <v>-720280.56691209192</v>
      </c>
      <c r="Y87" s="350">
        <f>SUM($B$86:Y86)</f>
        <v>-723060.29292662407</v>
      </c>
      <c r="Z87" s="350">
        <f>SUM($B$86:Z86)</f>
        <v>-725464.00621055975</v>
      </c>
      <c r="AA87" s="350">
        <f>SUM($B$86:AA86)</f>
        <v>-727542.56989675143</v>
      </c>
      <c r="AB87" s="350">
        <f>SUM($B$86:AB86)</f>
        <v>-729339.96687684418</v>
      </c>
      <c r="AC87" s="350">
        <f>SUM($B$86:AC86)</f>
        <v>-730894.23048950534</v>
      </c>
      <c r="AD87" s="350">
        <f>SUM($B$86:AD86)</f>
        <v>-732238.24931472761</v>
      </c>
      <c r="AE87" s="350">
        <f>SUM($B$86:AE86)</f>
        <v>-733400.46310384106</v>
      </c>
      <c r="AF87" s="350">
        <f>SUM($B$86:AF86)</f>
        <v>-734405.46457127354</v>
      </c>
      <c r="AG87" s="350">
        <f>SUM($B$86:AG86)</f>
        <v>-735274.51978211559</v>
      </c>
      <c r="AH87" s="350">
        <f>SUM($B$86:AH86)</f>
        <v>-736026.01814700966</v>
      </c>
      <c r="AI87" s="350">
        <f>SUM($B$86:AI86)</f>
        <v>-736675.86154636205</v>
      </c>
      <c r="AJ87" s="350">
        <f>SUM($B$86:AJ86)</f>
        <v>-737237.80081783526</v>
      </c>
      <c r="AK87" s="350">
        <f>SUM($B$86:AK86)</f>
        <v>-737723.72672727518</v>
      </c>
      <c r="AL87" s="350">
        <f>SUM($B$86:AL86)</f>
        <v>-738143.92158008541</v>
      </c>
      <c r="AM87" s="350">
        <f>SUM($B$86:AM86)</f>
        <v>-738507.27679720439</v>
      </c>
      <c r="AN87" s="350">
        <f>SUM($B$86:AN86)</f>
        <v>-738821.48105964251</v>
      </c>
      <c r="AO87" s="350">
        <f>SUM($B$86:AO86)</f>
        <v>-739093.18300276331</v>
      </c>
      <c r="AP87" s="350">
        <f>SUM($B$86:AP86)</f>
        <v>-739328.13190295571</v>
      </c>
    </row>
    <row r="88" spans="1:45" ht="14.25" x14ac:dyDescent="0.2">
      <c r="A88" s="277" t="s">
        <v>550</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0</v>
      </c>
      <c r="T88" s="352">
        <f>IF((ISERR(IRR($B$83:T83))),0,IF(IRR($B$83:T83)&lt;0,0,IRR($B$83:T83)))</f>
        <v>0</v>
      </c>
      <c r="U88" s="352">
        <f>IF((ISERR(IRR($B$83:U83))),0,IF(IRR($B$83:U83)&lt;0,0,IRR($B$83:U83)))</f>
        <v>0</v>
      </c>
      <c r="V88" s="352">
        <f>IF((ISERR(IRR($B$83:V83))),0,IF(IRR($B$83:V83)&lt;0,0,IRR($B$83:V83)))</f>
        <v>0</v>
      </c>
      <c r="W88" s="352">
        <f>IF((ISERR(IRR($B$83:W83))),0,IF(IRR($B$83:W83)&lt;0,0,IRR($B$83:W83)))</f>
        <v>0</v>
      </c>
      <c r="X88" s="352">
        <f>IF((ISERR(IRR($B$83:X83))),0,IF(IRR($B$83:X83)&lt;0,0,IRR($B$83:X83)))</f>
        <v>0</v>
      </c>
      <c r="Y88" s="352">
        <f>IF((ISERR(IRR($B$83:Y83))),0,IF(IRR($B$83:Y83)&lt;0,0,IRR($B$83:Y83)))</f>
        <v>0</v>
      </c>
      <c r="Z88" s="352">
        <f>IF((ISERR(IRR($B$83:Z83))),0,IF(IRR($B$83:Z83)&lt;0,0,IRR($B$83:Z83)))</f>
        <v>0</v>
      </c>
      <c r="AA88" s="352">
        <f>IF((ISERR(IRR($B$83:AA83))),0,IF(IRR($B$83:AA83)&lt;0,0,IRR($B$83:AA83)))</f>
        <v>0</v>
      </c>
      <c r="AB88" s="352">
        <f>IF((ISERR(IRR($B$83:AB83))),0,IF(IRR($B$83:AB83)&lt;0,0,IRR($B$83:AB83)))</f>
        <v>0</v>
      </c>
      <c r="AC88" s="352">
        <f>IF((ISERR(IRR($B$83:AC83))),0,IF(IRR($B$83:AC83)&lt;0,0,IRR($B$83:AC83)))</f>
        <v>0</v>
      </c>
      <c r="AD88" s="352">
        <f>IF((ISERR(IRR($B$83:AD83))),0,IF(IRR($B$83:AD83)&lt;0,0,IRR($B$83:AD83)))</f>
        <v>0</v>
      </c>
      <c r="AE88" s="352">
        <f>IF((ISERR(IRR($B$83:AE83))),0,IF(IRR($B$83:AE83)&lt;0,0,IRR($B$83:AE83)))</f>
        <v>0</v>
      </c>
      <c r="AF88" s="352">
        <f>IF((ISERR(IRR($B$83:AF83))),0,IF(IRR($B$83:AF83)&lt;0,0,IRR($B$83:AF83)))</f>
        <v>0</v>
      </c>
      <c r="AG88" s="352">
        <f>IF((ISERR(IRR($B$83:AG83))),0,IF(IRR($B$83:AG83)&lt;0,0,IRR($B$83:AG83)))</f>
        <v>0</v>
      </c>
      <c r="AH88" s="352">
        <f>IF((ISERR(IRR($B$83:AH83))),0,IF(IRR($B$83:AH83)&lt;0,0,IRR($B$83:AH83)))</f>
        <v>0</v>
      </c>
      <c r="AI88" s="352">
        <f>IF((ISERR(IRR($B$83:AI83))),0,IF(IRR($B$83:AI83)&lt;0,0,IRR($B$83:AI83)))</f>
        <v>0</v>
      </c>
      <c r="AJ88" s="352">
        <f>IF((ISERR(IRR($B$83:AJ83))),0,IF(IRR($B$83:AJ83)&lt;0,0,IRR($B$83:AJ83)))</f>
        <v>0</v>
      </c>
      <c r="AK88" s="352">
        <f>IF((ISERR(IRR($B$83:AK83))),0,IF(IRR($B$83:AK83)&lt;0,0,IRR($B$83:AK83)))</f>
        <v>0</v>
      </c>
      <c r="AL88" s="352">
        <f>IF((ISERR(IRR($B$83:AL83))),0,IF(IRR($B$83:AL83)&lt;0,0,IRR($B$83:AL83)))</f>
        <v>0</v>
      </c>
      <c r="AM88" s="352">
        <f>IF((ISERR(IRR($B$83:AM83))),0,IF(IRR($B$83:AM83)&lt;0,0,IRR($B$83:AM83)))</f>
        <v>0</v>
      </c>
      <c r="AN88" s="352">
        <f>IF((ISERR(IRR($B$83:AN83))),0,IF(IRR($B$83:AN83)&lt;0,0,IRR($B$83:AN83)))</f>
        <v>0</v>
      </c>
      <c r="AO88" s="352">
        <f>IF((ISERR(IRR($B$83:AO83))),0,IF(IRR($B$83:AO83)&lt;0,0,IRR($B$83:AO83)))</f>
        <v>0</v>
      </c>
      <c r="AP88" s="352">
        <f>IF((ISERR(IRR($B$83:AP83))),0,IF(IRR($B$83:AP83)&lt;0,0,IRR($B$83:AP83)))</f>
        <v>0</v>
      </c>
    </row>
    <row r="89" spans="1:45" ht="14.25" x14ac:dyDescent="0.2">
      <c r="A89" s="277" t="s">
        <v>551</v>
      </c>
      <c r="B89" s="353">
        <f>IF(AND(B84&gt;0,A84&lt;0),(B74-(B84/(B84-A84))),0)</f>
        <v>0</v>
      </c>
      <c r="C89" s="353">
        <f t="shared" ref="C89:AP89" si="32">IF(AND(C84&gt;0,B84&lt;0),(C74-(C84/(C84-B84))),0)</f>
        <v>0</v>
      </c>
      <c r="D89" s="353">
        <f t="shared" si="32"/>
        <v>0</v>
      </c>
      <c r="E89" s="353">
        <f t="shared" si="32"/>
        <v>0</v>
      </c>
      <c r="F89" s="353">
        <f t="shared" si="32"/>
        <v>0</v>
      </c>
      <c r="G89" s="353">
        <f t="shared" si="32"/>
        <v>0</v>
      </c>
      <c r="H89" s="353">
        <f>IF(AND(H84&gt;0,G84&lt;0),(H74-(H84/(H84-G84))),0)</f>
        <v>0</v>
      </c>
      <c r="I89" s="353">
        <f t="shared" si="32"/>
        <v>0</v>
      </c>
      <c r="J89" s="353">
        <f t="shared" si="32"/>
        <v>0</v>
      </c>
      <c r="K89" s="353">
        <f t="shared" si="32"/>
        <v>0</v>
      </c>
      <c r="L89" s="353">
        <f t="shared" si="32"/>
        <v>0</v>
      </c>
      <c r="M89" s="353">
        <f t="shared" si="32"/>
        <v>0</v>
      </c>
      <c r="N89" s="353">
        <f t="shared" si="32"/>
        <v>0</v>
      </c>
      <c r="O89" s="353">
        <f t="shared" si="32"/>
        <v>0</v>
      </c>
      <c r="P89" s="353">
        <f t="shared" si="32"/>
        <v>0</v>
      </c>
      <c r="Q89" s="353">
        <f t="shared" si="32"/>
        <v>0</v>
      </c>
      <c r="R89" s="353">
        <f t="shared" si="32"/>
        <v>0</v>
      </c>
      <c r="S89" s="353">
        <f t="shared" si="32"/>
        <v>0</v>
      </c>
      <c r="T89" s="353">
        <f t="shared" si="32"/>
        <v>0</v>
      </c>
      <c r="U89" s="353">
        <f t="shared" si="32"/>
        <v>0</v>
      </c>
      <c r="V89" s="353">
        <f t="shared" si="32"/>
        <v>0</v>
      </c>
      <c r="W89" s="353">
        <f t="shared" si="32"/>
        <v>0</v>
      </c>
      <c r="X89" s="353">
        <f t="shared" si="32"/>
        <v>0</v>
      </c>
      <c r="Y89" s="353">
        <f t="shared" si="32"/>
        <v>0</v>
      </c>
      <c r="Z89" s="353">
        <f t="shared" si="32"/>
        <v>0</v>
      </c>
      <c r="AA89" s="353">
        <f t="shared" si="32"/>
        <v>0</v>
      </c>
      <c r="AB89" s="353">
        <f t="shared" si="32"/>
        <v>0</v>
      </c>
      <c r="AC89" s="353">
        <f t="shared" si="32"/>
        <v>0</v>
      </c>
      <c r="AD89" s="353">
        <f t="shared" si="32"/>
        <v>0</v>
      </c>
      <c r="AE89" s="353">
        <f t="shared" si="32"/>
        <v>0</v>
      </c>
      <c r="AF89" s="353">
        <f t="shared" si="32"/>
        <v>0</v>
      </c>
      <c r="AG89" s="353">
        <f t="shared" si="32"/>
        <v>0</v>
      </c>
      <c r="AH89" s="353">
        <f t="shared" si="32"/>
        <v>0</v>
      </c>
      <c r="AI89" s="353">
        <f t="shared" si="32"/>
        <v>0</v>
      </c>
      <c r="AJ89" s="353">
        <f t="shared" si="32"/>
        <v>0</v>
      </c>
      <c r="AK89" s="353">
        <f t="shared" si="32"/>
        <v>0</v>
      </c>
      <c r="AL89" s="353">
        <f t="shared" si="32"/>
        <v>0</v>
      </c>
      <c r="AM89" s="353">
        <f t="shared" si="32"/>
        <v>0</v>
      </c>
      <c r="AN89" s="353">
        <f t="shared" si="32"/>
        <v>0</v>
      </c>
      <c r="AO89" s="353">
        <f t="shared" si="32"/>
        <v>0</v>
      </c>
      <c r="AP89" s="353">
        <f t="shared" si="32"/>
        <v>0</v>
      </c>
    </row>
    <row r="90" spans="1:45" ht="15" thickBot="1" x14ac:dyDescent="0.25">
      <c r="A90" s="284" t="s">
        <v>552</v>
      </c>
      <c r="B90" s="123">
        <f t="shared" ref="B90:AP90" si="33">IF(AND(B87&gt;0,A87&lt;0),(B74-(B87/(B87-A87))),0)</f>
        <v>0</v>
      </c>
      <c r="C90" s="123">
        <f t="shared" si="33"/>
        <v>0</v>
      </c>
      <c r="D90" s="123">
        <f t="shared" si="33"/>
        <v>0</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7" customFormat="1" x14ac:dyDescent="0.2">
      <c r="A91" s="247"/>
      <c r="B91" s="285">
        <v>2024</v>
      </c>
      <c r="C91" s="285">
        <f>B91+1</f>
        <v>2025</v>
      </c>
      <c r="D91" s="223">
        <f t="shared" ref="D91:AP91" si="34">C91+1</f>
        <v>2026</v>
      </c>
      <c r="E91" s="223">
        <f t="shared" si="34"/>
        <v>2027</v>
      </c>
      <c r="F91" s="223">
        <f t="shared" si="34"/>
        <v>2028</v>
      </c>
      <c r="G91" s="223">
        <f t="shared" si="34"/>
        <v>2029</v>
      </c>
      <c r="H91" s="223">
        <f t="shared" si="34"/>
        <v>2030</v>
      </c>
      <c r="I91" s="223">
        <f t="shared" si="34"/>
        <v>2031</v>
      </c>
      <c r="J91" s="223">
        <f t="shared" si="34"/>
        <v>2032</v>
      </c>
      <c r="K91" s="223">
        <f t="shared" si="34"/>
        <v>2033</v>
      </c>
      <c r="L91" s="223">
        <f t="shared" si="34"/>
        <v>2034</v>
      </c>
      <c r="M91" s="223">
        <f t="shared" si="34"/>
        <v>2035</v>
      </c>
      <c r="N91" s="223">
        <f t="shared" si="34"/>
        <v>2036</v>
      </c>
      <c r="O91" s="223">
        <f t="shared" si="34"/>
        <v>2037</v>
      </c>
      <c r="P91" s="223">
        <f t="shared" si="34"/>
        <v>2038</v>
      </c>
      <c r="Q91" s="223">
        <f t="shared" si="34"/>
        <v>2039</v>
      </c>
      <c r="R91" s="223">
        <f t="shared" si="34"/>
        <v>2040</v>
      </c>
      <c r="S91" s="223">
        <f t="shared" si="34"/>
        <v>2041</v>
      </c>
      <c r="T91" s="223">
        <f t="shared" si="34"/>
        <v>2042</v>
      </c>
      <c r="U91" s="223">
        <f t="shared" si="34"/>
        <v>2043</v>
      </c>
      <c r="V91" s="223">
        <f t="shared" si="34"/>
        <v>2044</v>
      </c>
      <c r="W91" s="223">
        <f t="shared" si="34"/>
        <v>2045</v>
      </c>
      <c r="X91" s="223">
        <f t="shared" si="34"/>
        <v>2046</v>
      </c>
      <c r="Y91" s="223">
        <f t="shared" si="34"/>
        <v>2047</v>
      </c>
      <c r="Z91" s="223">
        <f t="shared" si="34"/>
        <v>2048</v>
      </c>
      <c r="AA91" s="223">
        <f t="shared" si="34"/>
        <v>2049</v>
      </c>
      <c r="AB91" s="223">
        <f t="shared" si="34"/>
        <v>2050</v>
      </c>
      <c r="AC91" s="223">
        <f t="shared" si="34"/>
        <v>2051</v>
      </c>
      <c r="AD91" s="223">
        <f t="shared" si="34"/>
        <v>2052</v>
      </c>
      <c r="AE91" s="223">
        <f t="shared" si="34"/>
        <v>2053</v>
      </c>
      <c r="AF91" s="223">
        <f t="shared" si="34"/>
        <v>2054</v>
      </c>
      <c r="AG91" s="223">
        <f t="shared" si="34"/>
        <v>2055</v>
      </c>
      <c r="AH91" s="223">
        <f t="shared" si="34"/>
        <v>2056</v>
      </c>
      <c r="AI91" s="223">
        <f t="shared" si="34"/>
        <v>2057</v>
      </c>
      <c r="AJ91" s="223">
        <f t="shared" si="34"/>
        <v>2058</v>
      </c>
      <c r="AK91" s="223">
        <f t="shared" si="34"/>
        <v>2059</v>
      </c>
      <c r="AL91" s="223">
        <f t="shared" si="34"/>
        <v>2060</v>
      </c>
      <c r="AM91" s="223">
        <f t="shared" si="34"/>
        <v>2061</v>
      </c>
      <c r="AN91" s="223">
        <f t="shared" si="34"/>
        <v>2062</v>
      </c>
      <c r="AO91" s="223">
        <f t="shared" si="34"/>
        <v>2063</v>
      </c>
      <c r="AP91" s="223">
        <f t="shared" si="34"/>
        <v>2064</v>
      </c>
      <c r="AQ91" s="225"/>
      <c r="AR91" s="225"/>
      <c r="AS91" s="225"/>
    </row>
    <row r="92" spans="1:45" ht="15.6" customHeight="1" x14ac:dyDescent="0.2">
      <c r="A92" s="286" t="s">
        <v>553</v>
      </c>
      <c r="B92" s="287"/>
      <c r="C92" s="287"/>
      <c r="D92" s="287"/>
      <c r="E92" s="287"/>
      <c r="F92" s="287"/>
      <c r="G92" s="287"/>
      <c r="H92" s="287"/>
      <c r="I92" s="287"/>
      <c r="J92" s="287"/>
      <c r="K92" s="287"/>
      <c r="L92" s="288">
        <v>10</v>
      </c>
      <c r="M92" s="287"/>
      <c r="N92" s="287"/>
      <c r="O92" s="287"/>
      <c r="P92" s="287"/>
      <c r="Q92" s="287"/>
      <c r="R92" s="287"/>
      <c r="S92" s="287"/>
      <c r="T92" s="287"/>
      <c r="U92" s="287"/>
      <c r="V92" s="287"/>
      <c r="W92" s="287"/>
      <c r="X92" s="287"/>
      <c r="Y92" s="287"/>
      <c r="Z92" s="287"/>
      <c r="AA92" s="287">
        <v>25</v>
      </c>
      <c r="AB92" s="287"/>
      <c r="AC92" s="287"/>
      <c r="AD92" s="287"/>
      <c r="AE92" s="287"/>
      <c r="AF92" s="287">
        <v>30</v>
      </c>
      <c r="AG92" s="287"/>
      <c r="AH92" s="287"/>
      <c r="AI92" s="287"/>
      <c r="AJ92" s="287"/>
      <c r="AK92" s="287"/>
      <c r="AL92" s="287"/>
      <c r="AM92" s="287"/>
      <c r="AN92" s="287"/>
      <c r="AO92" s="287"/>
      <c r="AP92" s="287">
        <v>40</v>
      </c>
    </row>
    <row r="93" spans="1:45" ht="12.75" x14ac:dyDescent="0.2">
      <c r="A93" s="289" t="s">
        <v>554</v>
      </c>
      <c r="B93" s="289"/>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289"/>
      <c r="AF93" s="289"/>
      <c r="AG93" s="289"/>
      <c r="AH93" s="289"/>
      <c r="AI93" s="289"/>
      <c r="AJ93" s="289"/>
      <c r="AK93" s="289"/>
      <c r="AL93" s="289"/>
      <c r="AM93" s="289"/>
      <c r="AN93" s="289"/>
      <c r="AO93" s="289"/>
      <c r="AP93" s="289"/>
    </row>
    <row r="94" spans="1:45" ht="12.75" x14ac:dyDescent="0.2">
      <c r="A94" s="289" t="s">
        <v>555</v>
      </c>
      <c r="B94" s="289"/>
      <c r="C94" s="289"/>
      <c r="D94" s="289"/>
      <c r="E94" s="289"/>
      <c r="F94" s="289"/>
      <c r="G94" s="289"/>
      <c r="H94" s="289"/>
      <c r="I94" s="289"/>
      <c r="J94" s="289"/>
      <c r="K94" s="289"/>
      <c r="L94" s="289"/>
      <c r="M94" s="289"/>
      <c r="N94" s="289"/>
      <c r="O94" s="289"/>
      <c r="P94" s="289"/>
      <c r="Q94" s="289"/>
      <c r="R94" s="289"/>
      <c r="S94" s="289"/>
      <c r="T94" s="289"/>
      <c r="U94" s="289"/>
      <c r="V94" s="289"/>
      <c r="W94" s="289"/>
      <c r="X94" s="289"/>
      <c r="Y94" s="289"/>
      <c r="Z94" s="289"/>
      <c r="AA94" s="289"/>
      <c r="AB94" s="289"/>
      <c r="AC94" s="289"/>
      <c r="AD94" s="289"/>
      <c r="AE94" s="289"/>
      <c r="AF94" s="289"/>
      <c r="AG94" s="289"/>
      <c r="AH94" s="289"/>
      <c r="AI94" s="289"/>
      <c r="AJ94" s="289"/>
      <c r="AK94" s="289"/>
      <c r="AL94" s="289"/>
      <c r="AM94" s="289"/>
      <c r="AN94" s="289"/>
      <c r="AO94" s="289"/>
      <c r="AP94" s="289"/>
    </row>
    <row r="95" spans="1:45" ht="12.75" x14ac:dyDescent="0.2">
      <c r="A95" s="289" t="s">
        <v>556</v>
      </c>
      <c r="B95" s="289"/>
      <c r="C95" s="289"/>
      <c r="D95" s="289"/>
      <c r="E95" s="289"/>
      <c r="F95" s="289"/>
      <c r="G95" s="289"/>
      <c r="H95" s="289"/>
      <c r="I95" s="289"/>
      <c r="J95" s="289"/>
      <c r="K95" s="289"/>
      <c r="L95" s="289"/>
      <c r="M95" s="289"/>
      <c r="N95" s="289"/>
      <c r="O95" s="289"/>
      <c r="P95" s="289"/>
      <c r="Q95" s="289"/>
      <c r="R95" s="289"/>
      <c r="S95" s="289"/>
      <c r="T95" s="289"/>
      <c r="U95" s="289"/>
      <c r="V95" s="289"/>
      <c r="W95" s="289"/>
      <c r="X95" s="289"/>
      <c r="Y95" s="289"/>
      <c r="Z95" s="289"/>
      <c r="AA95" s="289"/>
      <c r="AB95" s="289"/>
      <c r="AC95" s="289"/>
      <c r="AD95" s="289"/>
      <c r="AE95" s="289"/>
      <c r="AF95" s="289"/>
      <c r="AG95" s="289"/>
      <c r="AH95" s="289"/>
      <c r="AI95" s="289"/>
      <c r="AJ95" s="289"/>
      <c r="AK95" s="289"/>
      <c r="AL95" s="289"/>
      <c r="AM95" s="289"/>
      <c r="AN95" s="289"/>
      <c r="AO95" s="289"/>
      <c r="AP95" s="289"/>
    </row>
    <row r="96" spans="1:45" ht="12.75" x14ac:dyDescent="0.2">
      <c r="A96" s="290" t="s">
        <v>557</v>
      </c>
      <c r="B96" s="287"/>
      <c r="C96" s="287"/>
      <c r="D96" s="287"/>
      <c r="E96" s="287"/>
      <c r="F96" s="287"/>
      <c r="G96" s="287"/>
      <c r="H96" s="287"/>
      <c r="I96" s="287"/>
      <c r="J96" s="287"/>
      <c r="K96" s="287"/>
      <c r="L96" s="287"/>
      <c r="M96" s="287"/>
      <c r="N96" s="287"/>
      <c r="O96" s="287"/>
      <c r="P96" s="287"/>
      <c r="Q96" s="287"/>
      <c r="R96" s="287"/>
      <c r="S96" s="287"/>
      <c r="T96" s="287"/>
      <c r="U96" s="287"/>
      <c r="V96" s="287"/>
      <c r="W96" s="287"/>
      <c r="X96" s="287"/>
      <c r="Y96" s="287"/>
      <c r="Z96" s="287"/>
      <c r="AA96" s="287"/>
      <c r="AB96" s="287"/>
      <c r="AC96" s="287"/>
      <c r="AD96" s="287"/>
      <c r="AE96" s="287"/>
      <c r="AF96" s="287"/>
      <c r="AG96" s="287"/>
      <c r="AH96" s="287"/>
      <c r="AI96" s="287"/>
      <c r="AJ96" s="287"/>
      <c r="AK96" s="287"/>
      <c r="AL96" s="287"/>
      <c r="AM96" s="287"/>
      <c r="AN96" s="287"/>
      <c r="AO96" s="287"/>
      <c r="AP96" s="287"/>
    </row>
    <row r="97" spans="1:71" ht="33" customHeight="1" x14ac:dyDescent="0.2">
      <c r="A97" s="476" t="s">
        <v>558</v>
      </c>
      <c r="B97" s="476"/>
      <c r="C97" s="476"/>
      <c r="D97" s="476"/>
      <c r="E97" s="476"/>
      <c r="F97" s="476"/>
      <c r="G97" s="476"/>
      <c r="H97" s="476"/>
      <c r="I97" s="476"/>
      <c r="J97" s="476"/>
      <c r="K97" s="476"/>
      <c r="L97" s="476"/>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291"/>
    </row>
    <row r="99" spans="1:71" s="297" customFormat="1" ht="16.5" thickTop="1" x14ac:dyDescent="0.2">
      <c r="A99" s="292" t="s">
        <v>559</v>
      </c>
      <c r="B99" s="293">
        <f>B81*B85</f>
        <v>-1798489.6057703984</v>
      </c>
      <c r="C99" s="294">
        <f>C81*C85</f>
        <v>0</v>
      </c>
      <c r="D99" s="294">
        <f t="shared" ref="D99:AP99" si="35">D81*D85</f>
        <v>0</v>
      </c>
      <c r="E99" s="294">
        <f t="shared" si="35"/>
        <v>0</v>
      </c>
      <c r="F99" s="294">
        <f t="shared" si="35"/>
        <v>0</v>
      </c>
      <c r="G99" s="294">
        <f t="shared" si="35"/>
        <v>0</v>
      </c>
      <c r="H99" s="294">
        <f t="shared" si="35"/>
        <v>0</v>
      </c>
      <c r="I99" s="294">
        <f t="shared" si="35"/>
        <v>0</v>
      </c>
      <c r="J99" s="294">
        <f>J81*J85</f>
        <v>0</v>
      </c>
      <c r="K99" s="294">
        <f t="shared" si="35"/>
        <v>0</v>
      </c>
      <c r="L99" s="294">
        <f>L81*L85</f>
        <v>0</v>
      </c>
      <c r="M99" s="294">
        <f t="shared" si="35"/>
        <v>0</v>
      </c>
      <c r="N99" s="294">
        <f t="shared" si="35"/>
        <v>0</v>
      </c>
      <c r="O99" s="294">
        <f t="shared" si="35"/>
        <v>0</v>
      </c>
      <c r="P99" s="294">
        <f t="shared" si="35"/>
        <v>0</v>
      </c>
      <c r="Q99" s="294">
        <f t="shared" si="35"/>
        <v>0</v>
      </c>
      <c r="R99" s="294">
        <f t="shared" si="35"/>
        <v>0</v>
      </c>
      <c r="S99" s="294">
        <f t="shared" si="35"/>
        <v>0</v>
      </c>
      <c r="T99" s="294">
        <f t="shared" si="35"/>
        <v>0</v>
      </c>
      <c r="U99" s="294">
        <f t="shared" si="35"/>
        <v>0</v>
      </c>
      <c r="V99" s="294">
        <f t="shared" si="35"/>
        <v>0</v>
      </c>
      <c r="W99" s="294">
        <f t="shared" si="35"/>
        <v>0</v>
      </c>
      <c r="X99" s="294">
        <f t="shared" si="35"/>
        <v>0</v>
      </c>
      <c r="Y99" s="294">
        <f t="shared" si="35"/>
        <v>0</v>
      </c>
      <c r="Z99" s="294">
        <f t="shared" si="35"/>
        <v>0</v>
      </c>
      <c r="AA99" s="294">
        <f t="shared" si="35"/>
        <v>0</v>
      </c>
      <c r="AB99" s="294">
        <f t="shared" si="35"/>
        <v>0</v>
      </c>
      <c r="AC99" s="294">
        <f t="shared" si="35"/>
        <v>0</v>
      </c>
      <c r="AD99" s="294">
        <f t="shared" si="35"/>
        <v>0</v>
      </c>
      <c r="AE99" s="294">
        <f t="shared" si="35"/>
        <v>0</v>
      </c>
      <c r="AF99" s="294">
        <f t="shared" si="35"/>
        <v>0</v>
      </c>
      <c r="AG99" s="294">
        <f t="shared" si="35"/>
        <v>0</v>
      </c>
      <c r="AH99" s="294">
        <f t="shared" si="35"/>
        <v>0</v>
      </c>
      <c r="AI99" s="294">
        <f t="shared" si="35"/>
        <v>0</v>
      </c>
      <c r="AJ99" s="294">
        <f t="shared" si="35"/>
        <v>0</v>
      </c>
      <c r="AK99" s="294">
        <f t="shared" si="35"/>
        <v>0</v>
      </c>
      <c r="AL99" s="294">
        <f t="shared" si="35"/>
        <v>0</v>
      </c>
      <c r="AM99" s="294">
        <f t="shared" si="35"/>
        <v>0</v>
      </c>
      <c r="AN99" s="294">
        <f t="shared" si="35"/>
        <v>0</v>
      </c>
      <c r="AO99" s="294">
        <f t="shared" si="35"/>
        <v>0</v>
      </c>
      <c r="AP99" s="294">
        <f t="shared" si="35"/>
        <v>0</v>
      </c>
      <c r="AQ99" s="295">
        <f>SUM(B99:AP99)</f>
        <v>-1798489.6057703984</v>
      </c>
      <c r="AR99" s="296"/>
      <c r="AS99" s="296"/>
    </row>
    <row r="100" spans="1:71" s="300" customFormat="1" x14ac:dyDescent="0.2">
      <c r="A100" s="298">
        <f>AQ99</f>
        <v>-1798489.6057703984</v>
      </c>
      <c r="B100" s="299"/>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5"/>
      <c r="AR100" s="225"/>
      <c r="AS100" s="225"/>
    </row>
    <row r="101" spans="1:71" s="300" customFormat="1" x14ac:dyDescent="0.2">
      <c r="A101" s="298">
        <f>AP87</f>
        <v>-739328.13190295571</v>
      </c>
      <c r="B101" s="299"/>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5"/>
      <c r="AR101" s="225"/>
      <c r="AS101" s="225"/>
    </row>
    <row r="102" spans="1:71" s="300" customFormat="1" x14ac:dyDescent="0.2">
      <c r="A102" s="301" t="s">
        <v>560</v>
      </c>
      <c r="B102" s="354">
        <f>(A101+-A100)/-A100</f>
        <v>0.58891720612071141</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5"/>
      <c r="AR102" s="225"/>
      <c r="AS102" s="225"/>
    </row>
    <row r="103" spans="1:71" s="300" customFormat="1" x14ac:dyDescent="0.2">
      <c r="A103" s="30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5"/>
      <c r="AR103" s="225"/>
      <c r="AS103" s="225"/>
    </row>
    <row r="104" spans="1:71" ht="12.75" x14ac:dyDescent="0.2">
      <c r="A104" s="355" t="s">
        <v>561</v>
      </c>
      <c r="B104" s="355" t="s">
        <v>562</v>
      </c>
      <c r="C104" s="355" t="s">
        <v>563</v>
      </c>
      <c r="D104" s="355" t="s">
        <v>564</v>
      </c>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4"/>
      <c r="AR104" s="304"/>
      <c r="AS104" s="304"/>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row>
    <row r="105" spans="1:71" ht="12.75" x14ac:dyDescent="0.2">
      <c r="A105" s="356">
        <f>G30/1000/1000</f>
        <v>-0.63107672560704142</v>
      </c>
      <c r="B105" s="357">
        <f>L88</f>
        <v>0</v>
      </c>
      <c r="C105" s="358" t="str">
        <f>G28</f>
        <v>не окупается</v>
      </c>
      <c r="D105" s="358" t="str">
        <f>G29</f>
        <v>не окупается</v>
      </c>
      <c r="E105" s="305" t="s">
        <v>565</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x14ac:dyDescent="0.2">
      <c r="A106" s="306"/>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4"/>
      <c r="AR106" s="304"/>
      <c r="AS106" s="304"/>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row>
    <row r="107" spans="1:71" ht="12.75" x14ac:dyDescent="0.2">
      <c r="A107" s="359"/>
      <c r="B107" s="360">
        <v>2016</v>
      </c>
      <c r="C107" s="360">
        <v>2017</v>
      </c>
      <c r="D107" s="361">
        <f t="shared" ref="D107:AP107" si="36">C107+1</f>
        <v>2018</v>
      </c>
      <c r="E107" s="361">
        <f t="shared" si="36"/>
        <v>2019</v>
      </c>
      <c r="F107" s="361">
        <f t="shared" si="36"/>
        <v>2020</v>
      </c>
      <c r="G107" s="361">
        <f t="shared" si="36"/>
        <v>2021</v>
      </c>
      <c r="H107" s="361">
        <f t="shared" si="36"/>
        <v>2022</v>
      </c>
      <c r="I107" s="361">
        <f t="shared" si="36"/>
        <v>2023</v>
      </c>
      <c r="J107" s="361">
        <f t="shared" si="36"/>
        <v>2024</v>
      </c>
      <c r="K107" s="361">
        <f t="shared" si="36"/>
        <v>2025</v>
      </c>
      <c r="L107" s="361">
        <f t="shared" si="36"/>
        <v>2026</v>
      </c>
      <c r="M107" s="361">
        <f t="shared" si="36"/>
        <v>2027</v>
      </c>
      <c r="N107" s="361">
        <f t="shared" si="36"/>
        <v>2028</v>
      </c>
      <c r="O107" s="361">
        <f t="shared" si="36"/>
        <v>2029</v>
      </c>
      <c r="P107" s="361">
        <f t="shared" si="36"/>
        <v>2030</v>
      </c>
      <c r="Q107" s="361">
        <f t="shared" si="36"/>
        <v>2031</v>
      </c>
      <c r="R107" s="361">
        <f t="shared" si="36"/>
        <v>2032</v>
      </c>
      <c r="S107" s="361">
        <f t="shared" si="36"/>
        <v>2033</v>
      </c>
      <c r="T107" s="361">
        <f t="shared" si="36"/>
        <v>2034</v>
      </c>
      <c r="U107" s="361">
        <f t="shared" si="36"/>
        <v>2035</v>
      </c>
      <c r="V107" s="361">
        <f t="shared" si="36"/>
        <v>2036</v>
      </c>
      <c r="W107" s="361">
        <f t="shared" si="36"/>
        <v>2037</v>
      </c>
      <c r="X107" s="361">
        <f t="shared" si="36"/>
        <v>2038</v>
      </c>
      <c r="Y107" s="361">
        <f t="shared" si="36"/>
        <v>2039</v>
      </c>
      <c r="Z107" s="361">
        <f t="shared" si="36"/>
        <v>2040</v>
      </c>
      <c r="AA107" s="361">
        <f t="shared" si="36"/>
        <v>2041</v>
      </c>
      <c r="AB107" s="361">
        <f t="shared" si="36"/>
        <v>2042</v>
      </c>
      <c r="AC107" s="361">
        <f t="shared" si="36"/>
        <v>2043</v>
      </c>
      <c r="AD107" s="361">
        <f t="shared" si="36"/>
        <v>2044</v>
      </c>
      <c r="AE107" s="361">
        <f t="shared" si="36"/>
        <v>2045</v>
      </c>
      <c r="AF107" s="361">
        <f t="shared" si="36"/>
        <v>2046</v>
      </c>
      <c r="AG107" s="361">
        <f t="shared" si="36"/>
        <v>2047</v>
      </c>
      <c r="AH107" s="361">
        <f t="shared" si="36"/>
        <v>2048</v>
      </c>
      <c r="AI107" s="361">
        <f t="shared" si="36"/>
        <v>2049</v>
      </c>
      <c r="AJ107" s="361">
        <f t="shared" si="36"/>
        <v>2050</v>
      </c>
      <c r="AK107" s="361">
        <f t="shared" si="36"/>
        <v>2051</v>
      </c>
      <c r="AL107" s="361">
        <f t="shared" si="36"/>
        <v>2052</v>
      </c>
      <c r="AM107" s="361">
        <f t="shared" si="36"/>
        <v>2053</v>
      </c>
      <c r="AN107" s="361">
        <f t="shared" si="36"/>
        <v>2054</v>
      </c>
      <c r="AO107" s="361">
        <f t="shared" si="36"/>
        <v>2055</v>
      </c>
      <c r="AP107" s="361">
        <f t="shared" si="36"/>
        <v>2056</v>
      </c>
      <c r="AT107" s="300"/>
      <c r="AU107" s="300"/>
      <c r="AV107" s="300"/>
      <c r="AW107" s="300"/>
      <c r="AX107" s="300"/>
      <c r="AY107" s="300"/>
      <c r="AZ107" s="300"/>
      <c r="BA107" s="300"/>
      <c r="BB107" s="300"/>
      <c r="BC107" s="300"/>
      <c r="BD107" s="300"/>
      <c r="BE107" s="300"/>
      <c r="BF107" s="300"/>
      <c r="BG107" s="300"/>
    </row>
    <row r="108" spans="1:71" ht="12.75" x14ac:dyDescent="0.2">
      <c r="A108" s="362" t="s">
        <v>566</v>
      </c>
      <c r="B108" s="363"/>
      <c r="C108" s="363">
        <f>C109*$B$111*$B$112*1000</f>
        <v>0</v>
      </c>
      <c r="D108" s="363">
        <f t="shared" ref="D108:AP108" si="37">D109*$B$111*$B$112*1000</f>
        <v>0</v>
      </c>
      <c r="E108" s="363">
        <f>E109*$B$111*$B$112*1000</f>
        <v>0</v>
      </c>
      <c r="F108" s="363">
        <f t="shared" si="37"/>
        <v>0</v>
      </c>
      <c r="G108" s="363">
        <f t="shared" si="37"/>
        <v>0</v>
      </c>
      <c r="H108" s="363">
        <f t="shared" si="37"/>
        <v>0</v>
      </c>
      <c r="I108" s="363">
        <f t="shared" si="37"/>
        <v>0</v>
      </c>
      <c r="J108" s="363">
        <f t="shared" si="37"/>
        <v>0</v>
      </c>
      <c r="K108" s="363">
        <f t="shared" si="37"/>
        <v>0</v>
      </c>
      <c r="L108" s="363">
        <f t="shared" si="37"/>
        <v>0</v>
      </c>
      <c r="M108" s="363">
        <f t="shared" si="37"/>
        <v>0</v>
      </c>
      <c r="N108" s="363">
        <f t="shared" si="37"/>
        <v>0</v>
      </c>
      <c r="O108" s="363">
        <f t="shared" si="37"/>
        <v>0</v>
      </c>
      <c r="P108" s="363">
        <f t="shared" si="37"/>
        <v>0</v>
      </c>
      <c r="Q108" s="363">
        <f t="shared" si="37"/>
        <v>0</v>
      </c>
      <c r="R108" s="363">
        <f t="shared" si="37"/>
        <v>0</v>
      </c>
      <c r="S108" s="363">
        <f t="shared" si="37"/>
        <v>0</v>
      </c>
      <c r="T108" s="363">
        <f t="shared" si="37"/>
        <v>0</v>
      </c>
      <c r="U108" s="363">
        <f t="shared" si="37"/>
        <v>0</v>
      </c>
      <c r="V108" s="363">
        <f t="shared" si="37"/>
        <v>0</v>
      </c>
      <c r="W108" s="363">
        <f t="shared" si="37"/>
        <v>0</v>
      </c>
      <c r="X108" s="363">
        <f t="shared" si="37"/>
        <v>0</v>
      </c>
      <c r="Y108" s="363">
        <f t="shared" si="37"/>
        <v>0</v>
      </c>
      <c r="Z108" s="363">
        <f t="shared" si="37"/>
        <v>0</v>
      </c>
      <c r="AA108" s="363">
        <f t="shared" si="37"/>
        <v>0</v>
      </c>
      <c r="AB108" s="363">
        <f t="shared" si="37"/>
        <v>0</v>
      </c>
      <c r="AC108" s="363">
        <f t="shared" si="37"/>
        <v>0</v>
      </c>
      <c r="AD108" s="363">
        <f t="shared" si="37"/>
        <v>0</v>
      </c>
      <c r="AE108" s="363">
        <f t="shared" si="37"/>
        <v>0</v>
      </c>
      <c r="AF108" s="363">
        <f t="shared" si="37"/>
        <v>0</v>
      </c>
      <c r="AG108" s="363">
        <f t="shared" si="37"/>
        <v>0</v>
      </c>
      <c r="AH108" s="363">
        <f t="shared" si="37"/>
        <v>0</v>
      </c>
      <c r="AI108" s="363">
        <f t="shared" si="37"/>
        <v>0</v>
      </c>
      <c r="AJ108" s="363">
        <f t="shared" si="37"/>
        <v>0</v>
      </c>
      <c r="AK108" s="363">
        <f t="shared" si="37"/>
        <v>0</v>
      </c>
      <c r="AL108" s="363">
        <f t="shared" si="37"/>
        <v>0</v>
      </c>
      <c r="AM108" s="363">
        <f t="shared" si="37"/>
        <v>0</v>
      </c>
      <c r="AN108" s="363">
        <f t="shared" si="37"/>
        <v>0</v>
      </c>
      <c r="AO108" s="363">
        <f t="shared" si="37"/>
        <v>0</v>
      </c>
      <c r="AP108" s="363">
        <f t="shared" si="37"/>
        <v>0</v>
      </c>
      <c r="AT108" s="300"/>
      <c r="AU108" s="300"/>
      <c r="AV108" s="300"/>
      <c r="AW108" s="300"/>
      <c r="AX108" s="300"/>
      <c r="AY108" s="300"/>
      <c r="AZ108" s="300"/>
      <c r="BA108" s="300"/>
      <c r="BB108" s="300"/>
      <c r="BC108" s="300"/>
      <c r="BD108" s="300"/>
      <c r="BE108" s="300"/>
      <c r="BF108" s="300"/>
      <c r="BG108" s="300"/>
    </row>
    <row r="109" spans="1:71" ht="12.75" x14ac:dyDescent="0.2">
      <c r="A109" s="362" t="s">
        <v>567</v>
      </c>
      <c r="B109" s="361"/>
      <c r="C109" s="361">
        <f>B109+$I$120*C113</f>
        <v>0</v>
      </c>
      <c r="D109" s="361">
        <f>C109+$I$120*D113</f>
        <v>0</v>
      </c>
      <c r="E109" s="361">
        <f t="shared" ref="E109:AP109" si="38">D109+$I$120*E113</f>
        <v>0</v>
      </c>
      <c r="F109" s="361">
        <f t="shared" si="38"/>
        <v>0</v>
      </c>
      <c r="G109" s="361">
        <f t="shared" si="38"/>
        <v>0</v>
      </c>
      <c r="H109" s="361">
        <f t="shared" si="38"/>
        <v>0</v>
      </c>
      <c r="I109" s="361">
        <f t="shared" si="38"/>
        <v>0</v>
      </c>
      <c r="J109" s="361">
        <f t="shared" si="38"/>
        <v>0</v>
      </c>
      <c r="K109" s="361">
        <f t="shared" si="38"/>
        <v>0</v>
      </c>
      <c r="L109" s="361">
        <f t="shared" si="38"/>
        <v>0</v>
      </c>
      <c r="M109" s="361">
        <f t="shared" si="38"/>
        <v>0</v>
      </c>
      <c r="N109" s="361">
        <f t="shared" si="38"/>
        <v>0</v>
      </c>
      <c r="O109" s="361">
        <f t="shared" si="38"/>
        <v>0</v>
      </c>
      <c r="P109" s="361">
        <f t="shared" si="38"/>
        <v>0</v>
      </c>
      <c r="Q109" s="361">
        <f t="shared" si="38"/>
        <v>0</v>
      </c>
      <c r="R109" s="361">
        <f t="shared" si="38"/>
        <v>0</v>
      </c>
      <c r="S109" s="361">
        <f t="shared" si="38"/>
        <v>0</v>
      </c>
      <c r="T109" s="361">
        <f t="shared" si="38"/>
        <v>0</v>
      </c>
      <c r="U109" s="361">
        <f t="shared" si="38"/>
        <v>0</v>
      </c>
      <c r="V109" s="361">
        <f t="shared" si="38"/>
        <v>0</v>
      </c>
      <c r="W109" s="361">
        <f t="shared" si="38"/>
        <v>0</v>
      </c>
      <c r="X109" s="361">
        <f t="shared" si="38"/>
        <v>0</v>
      </c>
      <c r="Y109" s="361">
        <f t="shared" si="38"/>
        <v>0</v>
      </c>
      <c r="Z109" s="361">
        <f t="shared" si="38"/>
        <v>0</v>
      </c>
      <c r="AA109" s="361">
        <f t="shared" si="38"/>
        <v>0</v>
      </c>
      <c r="AB109" s="361">
        <f t="shared" si="38"/>
        <v>0</v>
      </c>
      <c r="AC109" s="361">
        <f t="shared" si="38"/>
        <v>0</v>
      </c>
      <c r="AD109" s="361">
        <f t="shared" si="38"/>
        <v>0</v>
      </c>
      <c r="AE109" s="361">
        <f t="shared" si="38"/>
        <v>0</v>
      </c>
      <c r="AF109" s="361">
        <f t="shared" si="38"/>
        <v>0</v>
      </c>
      <c r="AG109" s="361">
        <f t="shared" si="38"/>
        <v>0</v>
      </c>
      <c r="AH109" s="361">
        <f t="shared" si="38"/>
        <v>0</v>
      </c>
      <c r="AI109" s="361">
        <f t="shared" si="38"/>
        <v>0</v>
      </c>
      <c r="AJ109" s="361">
        <f t="shared" si="38"/>
        <v>0</v>
      </c>
      <c r="AK109" s="361">
        <f t="shared" si="38"/>
        <v>0</v>
      </c>
      <c r="AL109" s="361">
        <f t="shared" si="38"/>
        <v>0</v>
      </c>
      <c r="AM109" s="361">
        <f t="shared" si="38"/>
        <v>0</v>
      </c>
      <c r="AN109" s="361">
        <f t="shared" si="38"/>
        <v>0</v>
      </c>
      <c r="AO109" s="361">
        <f t="shared" si="38"/>
        <v>0</v>
      </c>
      <c r="AP109" s="361">
        <f t="shared" si="38"/>
        <v>0</v>
      </c>
      <c r="AT109" s="300"/>
      <c r="AU109" s="300"/>
      <c r="AV109" s="300"/>
      <c r="AW109" s="300"/>
      <c r="AX109" s="300"/>
      <c r="AY109" s="300"/>
      <c r="AZ109" s="300"/>
      <c r="BA109" s="300"/>
      <c r="BB109" s="300"/>
      <c r="BC109" s="300"/>
      <c r="BD109" s="300"/>
      <c r="BE109" s="300"/>
      <c r="BF109" s="300"/>
      <c r="BG109" s="300"/>
    </row>
    <row r="110" spans="1:71" ht="12.75" x14ac:dyDescent="0.2">
      <c r="A110" s="362" t="s">
        <v>568</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300"/>
      <c r="AU110" s="300"/>
      <c r="AV110" s="300"/>
      <c r="AW110" s="300"/>
      <c r="AX110" s="300"/>
      <c r="AY110" s="300"/>
      <c r="AZ110" s="300"/>
      <c r="BA110" s="300"/>
      <c r="BB110" s="300"/>
      <c r="BC110" s="300"/>
      <c r="BD110" s="300"/>
      <c r="BE110" s="300"/>
      <c r="BF110" s="300"/>
      <c r="BG110" s="300"/>
    </row>
    <row r="111" spans="1:71" ht="12.75" x14ac:dyDescent="0.2">
      <c r="A111" s="362" t="s">
        <v>569</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300"/>
      <c r="AU111" s="300"/>
      <c r="AV111" s="300"/>
      <c r="AW111" s="300"/>
      <c r="AX111" s="300"/>
      <c r="AY111" s="300"/>
      <c r="AZ111" s="300"/>
      <c r="BA111" s="300"/>
      <c r="BB111" s="300"/>
      <c r="BC111" s="300"/>
      <c r="BD111" s="300"/>
      <c r="BE111" s="300"/>
      <c r="BF111" s="300"/>
      <c r="BG111" s="300"/>
    </row>
    <row r="112" spans="1:71" ht="12.75" x14ac:dyDescent="0.2">
      <c r="A112" s="362" t="s">
        <v>570</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300"/>
      <c r="AU112" s="300"/>
      <c r="AV112" s="300"/>
      <c r="AW112" s="300"/>
      <c r="AX112" s="300"/>
      <c r="AY112" s="300"/>
      <c r="AZ112" s="300"/>
      <c r="BA112" s="300"/>
      <c r="BB112" s="300"/>
      <c r="BC112" s="300"/>
      <c r="BD112" s="300"/>
      <c r="BE112" s="300"/>
      <c r="BF112" s="300"/>
      <c r="BG112" s="300"/>
    </row>
    <row r="113" spans="1:71" ht="15" x14ac:dyDescent="0.2">
      <c r="A113" s="365" t="s">
        <v>571</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300"/>
      <c r="AU113" s="300"/>
      <c r="AV113" s="300"/>
      <c r="AW113" s="300"/>
      <c r="AX113" s="300"/>
      <c r="AY113" s="300"/>
      <c r="AZ113" s="300"/>
      <c r="BA113" s="300"/>
      <c r="BB113" s="300"/>
      <c r="BC113" s="300"/>
      <c r="BD113" s="300"/>
      <c r="BE113" s="300"/>
      <c r="BF113" s="300"/>
      <c r="BG113" s="300"/>
    </row>
    <row r="114" spans="1:71" ht="12.75" x14ac:dyDescent="0.2">
      <c r="A114" s="306"/>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4"/>
      <c r="AR114" s="304"/>
      <c r="AS114" s="304"/>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row>
    <row r="115" spans="1:71" ht="12.75" x14ac:dyDescent="0.2">
      <c r="A115" s="306"/>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4"/>
      <c r="AR115" s="304"/>
      <c r="AS115" s="304"/>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row>
    <row r="116" spans="1:71" ht="12.75" x14ac:dyDescent="0.2">
      <c r="A116" s="359"/>
      <c r="B116" s="477" t="s">
        <v>572</v>
      </c>
      <c r="C116" s="478"/>
      <c r="D116" s="477" t="s">
        <v>573</v>
      </c>
      <c r="E116" s="478"/>
      <c r="F116" s="359"/>
      <c r="G116" s="359"/>
      <c r="H116" s="359"/>
      <c r="I116" s="359"/>
      <c r="J116" s="359"/>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4"/>
      <c r="AR116" s="304"/>
      <c r="AS116" s="304"/>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row>
    <row r="117" spans="1:71" ht="12.75" x14ac:dyDescent="0.2">
      <c r="A117" s="362" t="s">
        <v>574</v>
      </c>
      <c r="B117" s="368"/>
      <c r="C117" s="359" t="s">
        <v>575</v>
      </c>
      <c r="D117" s="368">
        <f>'3.1. паспорт Техсостояние ПС'!O25</f>
        <v>0</v>
      </c>
      <c r="E117" s="359" t="s">
        <v>575</v>
      </c>
      <c r="F117" s="359"/>
      <c r="G117" s="359"/>
      <c r="H117" s="359"/>
      <c r="I117" s="359"/>
      <c r="J117" s="359"/>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4"/>
      <c r="AR117" s="304"/>
      <c r="AS117" s="304"/>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row>
    <row r="118" spans="1:71" ht="25.5" x14ac:dyDescent="0.2">
      <c r="A118" s="362" t="s">
        <v>574</v>
      </c>
      <c r="B118" s="359">
        <f>$B$110*B117</f>
        <v>0</v>
      </c>
      <c r="C118" s="359" t="s">
        <v>125</v>
      </c>
      <c r="D118" s="359">
        <f>$B$110*D117</f>
        <v>0</v>
      </c>
      <c r="E118" s="359" t="s">
        <v>125</v>
      </c>
      <c r="F118" s="362" t="s">
        <v>576</v>
      </c>
      <c r="G118" s="359">
        <f>D117-B117</f>
        <v>0</v>
      </c>
      <c r="H118" s="359" t="s">
        <v>575</v>
      </c>
      <c r="I118" s="369">
        <f>$B$110*G118</f>
        <v>0</v>
      </c>
      <c r="J118" s="359" t="s">
        <v>125</v>
      </c>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4"/>
      <c r="AR118" s="304"/>
      <c r="AS118" s="304"/>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row>
    <row r="119" spans="1:71" ht="25.5" x14ac:dyDescent="0.2">
      <c r="A119" s="359"/>
      <c r="B119" s="359"/>
      <c r="C119" s="359"/>
      <c r="D119" s="359"/>
      <c r="E119" s="359"/>
      <c r="F119" s="362" t="s">
        <v>577</v>
      </c>
      <c r="G119" s="359">
        <f>I119/$B$110</f>
        <v>0</v>
      </c>
      <c r="H119" s="359" t="s">
        <v>575</v>
      </c>
      <c r="I119" s="368"/>
      <c r="J119" s="359" t="s">
        <v>125</v>
      </c>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4"/>
      <c r="AR119" s="304"/>
      <c r="AS119" s="304"/>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row>
    <row r="120" spans="1:71" ht="38.25" x14ac:dyDescent="0.2">
      <c r="A120" s="370"/>
      <c r="B120" s="371"/>
      <c r="C120" s="371"/>
      <c r="D120" s="371"/>
      <c r="E120" s="371"/>
      <c r="F120" s="372" t="s">
        <v>578</v>
      </c>
      <c r="G120" s="369">
        <f>G118</f>
        <v>0</v>
      </c>
      <c r="H120" s="359" t="s">
        <v>575</v>
      </c>
      <c r="I120" s="364">
        <f>I118</f>
        <v>0</v>
      </c>
      <c r="J120" s="359" t="s">
        <v>125</v>
      </c>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4"/>
      <c r="AR120" s="304"/>
      <c r="AS120" s="304"/>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row>
    <row r="121" spans="1:71" ht="12.75" x14ac:dyDescent="0.2">
      <c r="A121" s="307"/>
      <c r="B121" s="305"/>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4"/>
      <c r="AR121" s="304"/>
      <c r="AS121" s="304"/>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row>
    <row r="122" spans="1:71" x14ac:dyDescent="0.2">
      <c r="A122" s="373" t="s">
        <v>579</v>
      </c>
      <c r="B122" s="374">
        <v>6.04399</v>
      </c>
      <c r="C122" s="305"/>
      <c r="D122" s="479" t="s">
        <v>251</v>
      </c>
      <c r="E122" s="308" t="s">
        <v>580</v>
      </c>
      <c r="F122" s="309">
        <v>35</v>
      </c>
      <c r="G122" s="480" t="s">
        <v>581</v>
      </c>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x14ac:dyDescent="0.2">
      <c r="A123" s="373" t="s">
        <v>251</v>
      </c>
      <c r="B123" s="375">
        <v>30</v>
      </c>
      <c r="C123" s="305"/>
      <c r="D123" s="479"/>
      <c r="E123" s="308" t="s">
        <v>540</v>
      </c>
      <c r="F123" s="309">
        <v>30</v>
      </c>
      <c r="G123" s="480"/>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x14ac:dyDescent="0.2">
      <c r="A124" s="373" t="s">
        <v>582</v>
      </c>
      <c r="B124" s="375" t="s">
        <v>537</v>
      </c>
      <c r="C124" s="310" t="s">
        <v>583</v>
      </c>
      <c r="D124" s="479"/>
      <c r="E124" s="308" t="s">
        <v>584</v>
      </c>
      <c r="F124" s="309">
        <v>30</v>
      </c>
      <c r="G124" s="480"/>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67" customFormat="1" x14ac:dyDescent="0.2">
      <c r="A125" s="376"/>
      <c r="B125" s="377"/>
      <c r="C125" s="311"/>
      <c r="D125" s="479"/>
      <c r="E125" s="308" t="s">
        <v>585</v>
      </c>
      <c r="F125" s="309">
        <v>30</v>
      </c>
      <c r="G125" s="480"/>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73" t="s">
        <v>586</v>
      </c>
      <c r="B126" s="378">
        <f>$B$122*1000*1000</f>
        <v>6043990</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x14ac:dyDescent="0.2">
      <c r="A127" s="373" t="s">
        <v>587</v>
      </c>
      <c r="B127" s="379">
        <v>0.03</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x14ac:dyDescent="0.2">
      <c r="A128" s="307"/>
      <c r="B128" s="313"/>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x14ac:dyDescent="0.2">
      <c r="A129" s="373" t="s">
        <v>588</v>
      </c>
      <c r="B129" s="380">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x14ac:dyDescent="0.2">
      <c r="A130" s="381"/>
      <c r="B130" s="382"/>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12.75" x14ac:dyDescent="0.2">
      <c r="A131" s="383" t="s">
        <v>589</v>
      </c>
      <c r="B131" s="384">
        <v>1.4332</v>
      </c>
      <c r="C131" s="312"/>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12.75" x14ac:dyDescent="0.2">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x14ac:dyDescent="0.2">
      <c r="A133" s="307"/>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67"/>
      <c r="AR133" s="267"/>
      <c r="AS133" s="267"/>
      <c r="BH133" s="305"/>
      <c r="BI133" s="305"/>
      <c r="BJ133" s="305"/>
      <c r="BK133" s="305"/>
      <c r="BL133" s="305"/>
      <c r="BM133" s="305"/>
      <c r="BN133" s="305"/>
      <c r="BO133" s="305"/>
      <c r="BP133" s="305"/>
      <c r="BQ133" s="305"/>
      <c r="BR133" s="305"/>
      <c r="BS133" s="305"/>
    </row>
    <row r="134" spans="1:71" x14ac:dyDescent="0.2">
      <c r="A134" s="373" t="s">
        <v>590</v>
      </c>
      <c r="C134" s="312" t="s">
        <v>591</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67"/>
      <c r="AR134" s="267"/>
      <c r="AS134" s="267"/>
      <c r="BH134" s="312"/>
      <c r="BI134" s="312"/>
      <c r="BJ134" s="312"/>
      <c r="BK134" s="312"/>
      <c r="BL134" s="312"/>
      <c r="BM134" s="312"/>
      <c r="BN134" s="312"/>
      <c r="BO134" s="312"/>
      <c r="BP134" s="312"/>
      <c r="BQ134" s="312"/>
      <c r="BR134" s="312"/>
      <c r="BS134" s="312"/>
    </row>
    <row r="135" spans="1:71" ht="12.75" x14ac:dyDescent="0.2">
      <c r="A135" s="373"/>
      <c r="B135" s="385">
        <v>2016</v>
      </c>
      <c r="C135" s="385">
        <f>B135+1</f>
        <v>2017</v>
      </c>
      <c r="D135" s="385">
        <f t="shared" ref="D135:AY135" si="39">C135+1</f>
        <v>2018</v>
      </c>
      <c r="E135" s="385">
        <f t="shared" si="39"/>
        <v>2019</v>
      </c>
      <c r="F135" s="385">
        <f t="shared" si="39"/>
        <v>2020</v>
      </c>
      <c r="G135" s="385">
        <f t="shared" si="39"/>
        <v>2021</v>
      </c>
      <c r="H135" s="385">
        <f t="shared" si="39"/>
        <v>2022</v>
      </c>
      <c r="I135" s="385">
        <f t="shared" si="39"/>
        <v>2023</v>
      </c>
      <c r="J135" s="385">
        <f t="shared" si="39"/>
        <v>2024</v>
      </c>
      <c r="K135" s="385">
        <f t="shared" si="39"/>
        <v>2025</v>
      </c>
      <c r="L135" s="385">
        <f t="shared" si="39"/>
        <v>2026</v>
      </c>
      <c r="M135" s="385">
        <f t="shared" si="39"/>
        <v>2027</v>
      </c>
      <c r="N135" s="385">
        <f t="shared" si="39"/>
        <v>2028</v>
      </c>
      <c r="O135" s="385">
        <f t="shared" si="39"/>
        <v>2029</v>
      </c>
      <c r="P135" s="385">
        <f t="shared" si="39"/>
        <v>2030</v>
      </c>
      <c r="Q135" s="385">
        <f t="shared" si="39"/>
        <v>2031</v>
      </c>
      <c r="R135" s="385">
        <f t="shared" si="39"/>
        <v>2032</v>
      </c>
      <c r="S135" s="385">
        <f t="shared" si="39"/>
        <v>2033</v>
      </c>
      <c r="T135" s="385">
        <f t="shared" si="39"/>
        <v>2034</v>
      </c>
      <c r="U135" s="385">
        <f t="shared" si="39"/>
        <v>2035</v>
      </c>
      <c r="V135" s="385">
        <f t="shared" si="39"/>
        <v>2036</v>
      </c>
      <c r="W135" s="385">
        <f t="shared" si="39"/>
        <v>2037</v>
      </c>
      <c r="X135" s="385">
        <f t="shared" si="39"/>
        <v>2038</v>
      </c>
      <c r="Y135" s="385">
        <f t="shared" si="39"/>
        <v>2039</v>
      </c>
      <c r="Z135" s="385">
        <f t="shared" si="39"/>
        <v>2040</v>
      </c>
      <c r="AA135" s="385">
        <f t="shared" si="39"/>
        <v>2041</v>
      </c>
      <c r="AB135" s="385">
        <f t="shared" si="39"/>
        <v>2042</v>
      </c>
      <c r="AC135" s="385">
        <f t="shared" si="39"/>
        <v>2043</v>
      </c>
      <c r="AD135" s="385">
        <f t="shared" si="39"/>
        <v>2044</v>
      </c>
      <c r="AE135" s="385">
        <f t="shared" si="39"/>
        <v>2045</v>
      </c>
      <c r="AF135" s="385">
        <f t="shared" si="39"/>
        <v>2046</v>
      </c>
      <c r="AG135" s="385">
        <f t="shared" si="39"/>
        <v>2047</v>
      </c>
      <c r="AH135" s="385">
        <f t="shared" si="39"/>
        <v>2048</v>
      </c>
      <c r="AI135" s="385">
        <f t="shared" si="39"/>
        <v>2049</v>
      </c>
      <c r="AJ135" s="385">
        <f t="shared" si="39"/>
        <v>2050</v>
      </c>
      <c r="AK135" s="385">
        <f t="shared" si="39"/>
        <v>2051</v>
      </c>
      <c r="AL135" s="385">
        <f t="shared" si="39"/>
        <v>2052</v>
      </c>
      <c r="AM135" s="385">
        <f t="shared" si="39"/>
        <v>2053</v>
      </c>
      <c r="AN135" s="385">
        <f t="shared" si="39"/>
        <v>2054</v>
      </c>
      <c r="AO135" s="385">
        <f t="shared" si="39"/>
        <v>2055</v>
      </c>
      <c r="AP135" s="385">
        <f t="shared" si="39"/>
        <v>2056</v>
      </c>
      <c r="AQ135" s="385">
        <f t="shared" si="39"/>
        <v>2057</v>
      </c>
      <c r="AR135" s="385">
        <f t="shared" si="39"/>
        <v>2058</v>
      </c>
      <c r="AS135" s="385">
        <f t="shared" si="39"/>
        <v>2059</v>
      </c>
      <c r="AT135" s="385">
        <f t="shared" si="39"/>
        <v>2060</v>
      </c>
      <c r="AU135" s="385">
        <f t="shared" si="39"/>
        <v>2061</v>
      </c>
      <c r="AV135" s="385">
        <f t="shared" si="39"/>
        <v>2062</v>
      </c>
      <c r="AW135" s="385">
        <f t="shared" si="39"/>
        <v>2063</v>
      </c>
      <c r="AX135" s="385">
        <f t="shared" si="39"/>
        <v>2064</v>
      </c>
      <c r="AY135" s="385">
        <f t="shared" si="39"/>
        <v>2065</v>
      </c>
    </row>
    <row r="136" spans="1:71" ht="12.75" x14ac:dyDescent="0.2">
      <c r="A136" s="373" t="s">
        <v>592</v>
      </c>
      <c r="B136" s="386"/>
      <c r="C136" s="387"/>
      <c r="D136" s="387">
        <v>4.5999999999999999E-2</v>
      </c>
      <c r="E136" s="387">
        <v>4.3999999999999997E-2</v>
      </c>
      <c r="F136" s="387">
        <v>4.2000000000000003E-2</v>
      </c>
      <c r="G136" s="387">
        <f>F136</f>
        <v>4.2000000000000003E-2</v>
      </c>
      <c r="H136" s="387">
        <f>G136</f>
        <v>4.2000000000000003E-2</v>
      </c>
      <c r="I136" s="387">
        <f t="shared" ref="I136:AY136" si="40">H136</f>
        <v>4.2000000000000003E-2</v>
      </c>
      <c r="J136" s="387">
        <f t="shared" si="40"/>
        <v>4.2000000000000003E-2</v>
      </c>
      <c r="K136" s="387">
        <f t="shared" si="40"/>
        <v>4.2000000000000003E-2</v>
      </c>
      <c r="L136" s="387">
        <f t="shared" si="40"/>
        <v>4.2000000000000003E-2</v>
      </c>
      <c r="M136" s="387">
        <f t="shared" si="40"/>
        <v>4.2000000000000003E-2</v>
      </c>
      <c r="N136" s="387">
        <f t="shared" si="40"/>
        <v>4.2000000000000003E-2</v>
      </c>
      <c r="O136" s="387">
        <f t="shared" si="40"/>
        <v>4.2000000000000003E-2</v>
      </c>
      <c r="P136" s="387">
        <f t="shared" si="40"/>
        <v>4.2000000000000003E-2</v>
      </c>
      <c r="Q136" s="387">
        <f t="shared" si="40"/>
        <v>4.2000000000000003E-2</v>
      </c>
      <c r="R136" s="387">
        <f t="shared" si="40"/>
        <v>4.2000000000000003E-2</v>
      </c>
      <c r="S136" s="387">
        <f t="shared" si="40"/>
        <v>4.2000000000000003E-2</v>
      </c>
      <c r="T136" s="387">
        <f t="shared" si="40"/>
        <v>4.2000000000000003E-2</v>
      </c>
      <c r="U136" s="387">
        <f t="shared" si="40"/>
        <v>4.2000000000000003E-2</v>
      </c>
      <c r="V136" s="387">
        <f t="shared" si="40"/>
        <v>4.2000000000000003E-2</v>
      </c>
      <c r="W136" s="387">
        <f t="shared" si="40"/>
        <v>4.2000000000000003E-2</v>
      </c>
      <c r="X136" s="387">
        <f t="shared" si="40"/>
        <v>4.2000000000000003E-2</v>
      </c>
      <c r="Y136" s="387">
        <f t="shared" si="40"/>
        <v>4.2000000000000003E-2</v>
      </c>
      <c r="Z136" s="387">
        <f t="shared" si="40"/>
        <v>4.2000000000000003E-2</v>
      </c>
      <c r="AA136" s="387">
        <f t="shared" si="40"/>
        <v>4.2000000000000003E-2</v>
      </c>
      <c r="AB136" s="387">
        <f t="shared" si="40"/>
        <v>4.2000000000000003E-2</v>
      </c>
      <c r="AC136" s="387">
        <f t="shared" si="40"/>
        <v>4.2000000000000003E-2</v>
      </c>
      <c r="AD136" s="387">
        <f t="shared" si="40"/>
        <v>4.2000000000000003E-2</v>
      </c>
      <c r="AE136" s="387">
        <f t="shared" si="40"/>
        <v>4.2000000000000003E-2</v>
      </c>
      <c r="AF136" s="387">
        <f t="shared" si="40"/>
        <v>4.2000000000000003E-2</v>
      </c>
      <c r="AG136" s="387">
        <f t="shared" si="40"/>
        <v>4.2000000000000003E-2</v>
      </c>
      <c r="AH136" s="387">
        <f t="shared" si="40"/>
        <v>4.2000000000000003E-2</v>
      </c>
      <c r="AI136" s="387">
        <f t="shared" si="40"/>
        <v>4.2000000000000003E-2</v>
      </c>
      <c r="AJ136" s="387">
        <f t="shared" si="40"/>
        <v>4.2000000000000003E-2</v>
      </c>
      <c r="AK136" s="387">
        <f t="shared" si="40"/>
        <v>4.2000000000000003E-2</v>
      </c>
      <c r="AL136" s="387">
        <f t="shared" si="40"/>
        <v>4.2000000000000003E-2</v>
      </c>
      <c r="AM136" s="387">
        <f t="shared" si="40"/>
        <v>4.2000000000000003E-2</v>
      </c>
      <c r="AN136" s="387">
        <f t="shared" si="40"/>
        <v>4.2000000000000003E-2</v>
      </c>
      <c r="AO136" s="387">
        <f t="shared" si="40"/>
        <v>4.2000000000000003E-2</v>
      </c>
      <c r="AP136" s="387">
        <f t="shared" si="40"/>
        <v>4.2000000000000003E-2</v>
      </c>
      <c r="AQ136" s="387">
        <f t="shared" si="40"/>
        <v>4.2000000000000003E-2</v>
      </c>
      <c r="AR136" s="387">
        <f t="shared" si="40"/>
        <v>4.2000000000000003E-2</v>
      </c>
      <c r="AS136" s="387">
        <f t="shared" si="40"/>
        <v>4.2000000000000003E-2</v>
      </c>
      <c r="AT136" s="387">
        <f t="shared" si="40"/>
        <v>4.2000000000000003E-2</v>
      </c>
      <c r="AU136" s="387">
        <f t="shared" si="40"/>
        <v>4.2000000000000003E-2</v>
      </c>
      <c r="AV136" s="387">
        <f t="shared" si="40"/>
        <v>4.2000000000000003E-2</v>
      </c>
      <c r="AW136" s="387">
        <f t="shared" si="40"/>
        <v>4.2000000000000003E-2</v>
      </c>
      <c r="AX136" s="387">
        <f t="shared" si="40"/>
        <v>4.2000000000000003E-2</v>
      </c>
      <c r="AY136" s="387">
        <f t="shared" si="40"/>
        <v>4.2000000000000003E-2</v>
      </c>
    </row>
    <row r="137" spans="1:71" s="267" customFormat="1" ht="15" x14ac:dyDescent="0.2">
      <c r="A137" s="373" t="s">
        <v>593</v>
      </c>
      <c r="B137" s="388"/>
      <c r="C137" s="389">
        <f>(1+B137)*(1+C136)-1</f>
        <v>0</v>
      </c>
      <c r="D137" s="389">
        <f>(1+C137)*(1+D136)-1</f>
        <v>4.6000000000000041E-2</v>
      </c>
      <c r="E137" s="389">
        <f>(1+D137)*(1+E136)-1</f>
        <v>9.2024000000000106E-2</v>
      </c>
      <c r="F137" s="389">
        <f t="shared" ref="F137:AY137" si="41">(1+E137)*(1+F136)-1</f>
        <v>0.13788900800000015</v>
      </c>
      <c r="G137" s="389">
        <f>(1+F137)*(1+G136)-1</f>
        <v>0.18568034633600017</v>
      </c>
      <c r="H137" s="389">
        <f t="shared" si="41"/>
        <v>0.2354789208821122</v>
      </c>
      <c r="I137" s="389">
        <f t="shared" si="41"/>
        <v>0.28736903555916093</v>
      </c>
      <c r="J137" s="389">
        <f t="shared" si="41"/>
        <v>0.34143853505264565</v>
      </c>
      <c r="K137" s="389">
        <f t="shared" si="41"/>
        <v>0.39777895352485682</v>
      </c>
      <c r="L137" s="389">
        <f t="shared" si="41"/>
        <v>0.45648566957290093</v>
      </c>
      <c r="M137" s="389">
        <f t="shared" si="41"/>
        <v>0.51765806769496292</v>
      </c>
      <c r="N137" s="389">
        <f t="shared" si="41"/>
        <v>0.58139970653815132</v>
      </c>
      <c r="O137" s="389">
        <f t="shared" si="41"/>
        <v>0.64781849421275384</v>
      </c>
      <c r="P137" s="389">
        <f t="shared" si="41"/>
        <v>0.71702687096968964</v>
      </c>
      <c r="Q137" s="389">
        <f t="shared" si="41"/>
        <v>0.78914199955041675</v>
      </c>
      <c r="R137" s="389">
        <f t="shared" si="41"/>
        <v>0.86428596353153431</v>
      </c>
      <c r="S137" s="389">
        <f t="shared" si="41"/>
        <v>0.94258597399985877</v>
      </c>
      <c r="T137" s="389">
        <f t="shared" si="41"/>
        <v>1.0241745849078527</v>
      </c>
      <c r="U137" s="389">
        <f t="shared" si="41"/>
        <v>1.1091899174739828</v>
      </c>
      <c r="V137" s="389">
        <f t="shared" si="41"/>
        <v>1.19777589400789</v>
      </c>
      <c r="W137" s="389">
        <f t="shared" si="41"/>
        <v>1.2900824815562215</v>
      </c>
      <c r="X137" s="389">
        <f t="shared" si="41"/>
        <v>1.3862659457815827</v>
      </c>
      <c r="Y137" s="389">
        <f t="shared" si="41"/>
        <v>1.4864891155044093</v>
      </c>
      <c r="Z137" s="389">
        <f t="shared" si="41"/>
        <v>1.5909216583555947</v>
      </c>
      <c r="AA137" s="389">
        <f t="shared" si="41"/>
        <v>1.6997403680065299</v>
      </c>
      <c r="AB137" s="389">
        <f t="shared" si="41"/>
        <v>1.8131294634628041</v>
      </c>
      <c r="AC137" s="389">
        <f t="shared" si="41"/>
        <v>1.9312809009282419</v>
      </c>
      <c r="AD137" s="389">
        <f t="shared" si="41"/>
        <v>2.0543946987672284</v>
      </c>
      <c r="AE137" s="389">
        <f t="shared" si="41"/>
        <v>2.1826792761154521</v>
      </c>
      <c r="AF137" s="389">
        <f t="shared" si="41"/>
        <v>2.3163518057123014</v>
      </c>
      <c r="AG137" s="389">
        <f t="shared" si="41"/>
        <v>2.4556385815522184</v>
      </c>
      <c r="AH137" s="389">
        <f t="shared" si="41"/>
        <v>2.6007754019774119</v>
      </c>
      <c r="AI137" s="389">
        <f t="shared" si="41"/>
        <v>2.7520079688604633</v>
      </c>
      <c r="AJ137" s="389">
        <f t="shared" si="41"/>
        <v>2.909592303552603</v>
      </c>
      <c r="AK137" s="389">
        <f t="shared" si="41"/>
        <v>3.0737951803018122</v>
      </c>
      <c r="AL137" s="389">
        <f t="shared" si="41"/>
        <v>3.2448945778744882</v>
      </c>
      <c r="AM137" s="389">
        <f t="shared" si="41"/>
        <v>3.4231801501452166</v>
      </c>
      <c r="AN137" s="389">
        <f t="shared" si="41"/>
        <v>3.6089537164513157</v>
      </c>
      <c r="AO137" s="389">
        <f t="shared" si="41"/>
        <v>3.8025297725422709</v>
      </c>
      <c r="AP137" s="389">
        <f t="shared" si="41"/>
        <v>4.0042360229890468</v>
      </c>
      <c r="AQ137" s="389">
        <f t="shared" si="41"/>
        <v>4.2144139359545871</v>
      </c>
      <c r="AR137" s="389">
        <f t="shared" si="41"/>
        <v>4.4334193212646804</v>
      </c>
      <c r="AS137" s="389">
        <f t="shared" si="41"/>
        <v>4.6616229327577976</v>
      </c>
      <c r="AT137" s="389">
        <f t="shared" si="41"/>
        <v>4.8994110959336252</v>
      </c>
      <c r="AU137" s="389">
        <f t="shared" si="41"/>
        <v>5.147186361962838</v>
      </c>
      <c r="AV137" s="389">
        <f t="shared" si="41"/>
        <v>5.4053681891652774</v>
      </c>
      <c r="AW137" s="389">
        <f>(1+AV137)*(1+AW136)-1</f>
        <v>5.6743936531102195</v>
      </c>
      <c r="AX137" s="389">
        <f t="shared" si="41"/>
        <v>5.9547181865408492</v>
      </c>
      <c r="AY137" s="389">
        <f t="shared" si="41"/>
        <v>6.2468163503755649</v>
      </c>
    </row>
    <row r="138" spans="1:71" s="267" customFormat="1" x14ac:dyDescent="0.2">
      <c r="A138" s="314"/>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25"/>
    </row>
    <row r="139" spans="1:71" ht="12.75" x14ac:dyDescent="0.2">
      <c r="A139" s="307"/>
      <c r="B139" s="386">
        <v>2016</v>
      </c>
      <c r="C139" s="386">
        <f>B139+1</f>
        <v>2017</v>
      </c>
      <c r="D139" s="386">
        <f t="shared" ref="D139:S140" si="42">C139+1</f>
        <v>2018</v>
      </c>
      <c r="E139" s="386">
        <f t="shared" si="42"/>
        <v>2019</v>
      </c>
      <c r="F139" s="386">
        <f t="shared" si="42"/>
        <v>2020</v>
      </c>
      <c r="G139" s="386">
        <f t="shared" si="42"/>
        <v>2021</v>
      </c>
      <c r="H139" s="386">
        <f t="shared" si="42"/>
        <v>2022</v>
      </c>
      <c r="I139" s="386">
        <f t="shared" si="42"/>
        <v>2023</v>
      </c>
      <c r="J139" s="386">
        <f t="shared" si="42"/>
        <v>2024</v>
      </c>
      <c r="K139" s="386">
        <f t="shared" si="42"/>
        <v>2025</v>
      </c>
      <c r="L139" s="386">
        <f t="shared" si="42"/>
        <v>2026</v>
      </c>
      <c r="M139" s="386">
        <f t="shared" si="42"/>
        <v>2027</v>
      </c>
      <c r="N139" s="386">
        <f t="shared" si="42"/>
        <v>2028</v>
      </c>
      <c r="O139" s="386">
        <f t="shared" si="42"/>
        <v>2029</v>
      </c>
      <c r="P139" s="386">
        <f t="shared" si="42"/>
        <v>2030</v>
      </c>
      <c r="Q139" s="386">
        <f t="shared" si="42"/>
        <v>2031</v>
      </c>
      <c r="R139" s="386">
        <f t="shared" si="42"/>
        <v>2032</v>
      </c>
      <c r="S139" s="386">
        <f t="shared" si="42"/>
        <v>2033</v>
      </c>
      <c r="T139" s="386">
        <f t="shared" ref="T139:AI140" si="43">S139+1</f>
        <v>2034</v>
      </c>
      <c r="U139" s="386">
        <f t="shared" si="43"/>
        <v>2035</v>
      </c>
      <c r="V139" s="386">
        <f t="shared" si="43"/>
        <v>2036</v>
      </c>
      <c r="W139" s="386">
        <f t="shared" si="43"/>
        <v>2037</v>
      </c>
      <c r="X139" s="386">
        <f t="shared" si="43"/>
        <v>2038</v>
      </c>
      <c r="Y139" s="386">
        <f t="shared" si="43"/>
        <v>2039</v>
      </c>
      <c r="Z139" s="386">
        <f t="shared" si="43"/>
        <v>2040</v>
      </c>
      <c r="AA139" s="386">
        <f t="shared" si="43"/>
        <v>2041</v>
      </c>
      <c r="AB139" s="386">
        <f t="shared" si="43"/>
        <v>2042</v>
      </c>
      <c r="AC139" s="386">
        <f t="shared" si="43"/>
        <v>2043</v>
      </c>
      <c r="AD139" s="386">
        <f t="shared" si="43"/>
        <v>2044</v>
      </c>
      <c r="AE139" s="386">
        <f t="shared" si="43"/>
        <v>2045</v>
      </c>
      <c r="AF139" s="386">
        <f t="shared" si="43"/>
        <v>2046</v>
      </c>
      <c r="AG139" s="386">
        <f t="shared" si="43"/>
        <v>2047</v>
      </c>
      <c r="AH139" s="386">
        <f t="shared" si="43"/>
        <v>2048</v>
      </c>
      <c r="AI139" s="386">
        <f t="shared" si="43"/>
        <v>2049</v>
      </c>
      <c r="AJ139" s="386">
        <f t="shared" ref="AJ139:AY140" si="44">AI139+1</f>
        <v>2050</v>
      </c>
      <c r="AK139" s="386">
        <f t="shared" si="44"/>
        <v>2051</v>
      </c>
      <c r="AL139" s="386">
        <f t="shared" si="44"/>
        <v>2052</v>
      </c>
      <c r="AM139" s="386">
        <f t="shared" si="44"/>
        <v>2053</v>
      </c>
      <c r="AN139" s="386">
        <f t="shared" si="44"/>
        <v>2054</v>
      </c>
      <c r="AO139" s="386">
        <f t="shared" si="44"/>
        <v>2055</v>
      </c>
      <c r="AP139" s="386">
        <f t="shared" si="44"/>
        <v>2056</v>
      </c>
      <c r="AQ139" s="386">
        <f t="shared" si="44"/>
        <v>2057</v>
      </c>
      <c r="AR139" s="386">
        <f t="shared" si="44"/>
        <v>2058</v>
      </c>
      <c r="AS139" s="386">
        <f t="shared" si="44"/>
        <v>2059</v>
      </c>
      <c r="AT139" s="386">
        <f t="shared" si="44"/>
        <v>2060</v>
      </c>
      <c r="AU139" s="386">
        <f t="shared" si="44"/>
        <v>2061</v>
      </c>
      <c r="AV139" s="386">
        <f t="shared" si="44"/>
        <v>2062</v>
      </c>
      <c r="AW139" s="386">
        <f t="shared" si="44"/>
        <v>2063</v>
      </c>
      <c r="AX139" s="386">
        <f t="shared" si="44"/>
        <v>2064</v>
      </c>
      <c r="AY139" s="386">
        <f t="shared" si="44"/>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x14ac:dyDescent="0.2">
      <c r="A140" s="307"/>
      <c r="B140" s="392">
        <v>0</v>
      </c>
      <c r="C140" s="392">
        <v>0</v>
      </c>
      <c r="D140" s="392">
        <v>1</v>
      </c>
      <c r="E140" s="392">
        <f>D140+1</f>
        <v>2</v>
      </c>
      <c r="F140" s="392">
        <f t="shared" si="42"/>
        <v>3</v>
      </c>
      <c r="G140" s="392">
        <f t="shared" si="42"/>
        <v>4</v>
      </c>
      <c r="H140" s="392">
        <f t="shared" si="42"/>
        <v>5</v>
      </c>
      <c r="I140" s="392">
        <f t="shared" si="42"/>
        <v>6</v>
      </c>
      <c r="J140" s="392">
        <f t="shared" si="42"/>
        <v>7</v>
      </c>
      <c r="K140" s="392">
        <f t="shared" si="42"/>
        <v>8</v>
      </c>
      <c r="L140" s="392">
        <f t="shared" si="42"/>
        <v>9</v>
      </c>
      <c r="M140" s="392">
        <f t="shared" si="42"/>
        <v>10</v>
      </c>
      <c r="N140" s="392">
        <f t="shared" si="42"/>
        <v>11</v>
      </c>
      <c r="O140" s="392">
        <f t="shared" si="42"/>
        <v>12</v>
      </c>
      <c r="P140" s="392">
        <f t="shared" si="42"/>
        <v>13</v>
      </c>
      <c r="Q140" s="392">
        <f t="shared" si="42"/>
        <v>14</v>
      </c>
      <c r="R140" s="392">
        <f t="shared" si="42"/>
        <v>15</v>
      </c>
      <c r="S140" s="392">
        <f t="shared" si="42"/>
        <v>16</v>
      </c>
      <c r="T140" s="392">
        <f t="shared" si="43"/>
        <v>17</v>
      </c>
      <c r="U140" s="392">
        <f t="shared" si="43"/>
        <v>18</v>
      </c>
      <c r="V140" s="392">
        <f t="shared" si="43"/>
        <v>19</v>
      </c>
      <c r="W140" s="392">
        <f t="shared" si="43"/>
        <v>20</v>
      </c>
      <c r="X140" s="392">
        <f t="shared" si="43"/>
        <v>21</v>
      </c>
      <c r="Y140" s="392">
        <f t="shared" si="43"/>
        <v>22</v>
      </c>
      <c r="Z140" s="392">
        <f t="shared" si="43"/>
        <v>23</v>
      </c>
      <c r="AA140" s="392">
        <f t="shared" si="43"/>
        <v>24</v>
      </c>
      <c r="AB140" s="392">
        <f t="shared" si="43"/>
        <v>25</v>
      </c>
      <c r="AC140" s="392">
        <f t="shared" si="43"/>
        <v>26</v>
      </c>
      <c r="AD140" s="392">
        <f t="shared" si="43"/>
        <v>27</v>
      </c>
      <c r="AE140" s="392">
        <f t="shared" si="43"/>
        <v>28</v>
      </c>
      <c r="AF140" s="392">
        <f t="shared" si="43"/>
        <v>29</v>
      </c>
      <c r="AG140" s="392">
        <f t="shared" si="43"/>
        <v>30</v>
      </c>
      <c r="AH140" s="392">
        <f t="shared" si="43"/>
        <v>31</v>
      </c>
      <c r="AI140" s="392">
        <f t="shared" si="43"/>
        <v>32</v>
      </c>
      <c r="AJ140" s="392">
        <f t="shared" si="44"/>
        <v>33</v>
      </c>
      <c r="AK140" s="392">
        <f t="shared" si="44"/>
        <v>34</v>
      </c>
      <c r="AL140" s="392">
        <f t="shared" si="44"/>
        <v>35</v>
      </c>
      <c r="AM140" s="392">
        <f t="shared" si="44"/>
        <v>36</v>
      </c>
      <c r="AN140" s="392">
        <f t="shared" si="44"/>
        <v>37</v>
      </c>
      <c r="AO140" s="392">
        <f t="shared" si="44"/>
        <v>38</v>
      </c>
      <c r="AP140" s="392">
        <f>AO140+1</f>
        <v>39</v>
      </c>
      <c r="AQ140" s="392">
        <f t="shared" si="44"/>
        <v>40</v>
      </c>
      <c r="AR140" s="392">
        <f t="shared" si="44"/>
        <v>41</v>
      </c>
      <c r="AS140" s="392">
        <f t="shared" si="44"/>
        <v>42</v>
      </c>
      <c r="AT140" s="392">
        <f t="shared" si="44"/>
        <v>43</v>
      </c>
      <c r="AU140" s="392">
        <f t="shared" si="44"/>
        <v>44</v>
      </c>
      <c r="AV140" s="392">
        <f t="shared" si="44"/>
        <v>45</v>
      </c>
      <c r="AW140" s="392">
        <f t="shared" si="44"/>
        <v>46</v>
      </c>
      <c r="AX140" s="392">
        <f t="shared" si="44"/>
        <v>47</v>
      </c>
      <c r="AY140" s="392">
        <f t="shared" si="44"/>
        <v>48</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x14ac:dyDescent="0.2">
      <c r="A141" s="307"/>
      <c r="B141" s="393">
        <f>AVERAGE(A140:B140)</f>
        <v>0</v>
      </c>
      <c r="C141" s="393">
        <f>AVERAGE(B140:C140)</f>
        <v>0</v>
      </c>
      <c r="D141" s="393">
        <f>AVERAGE(C140:D140)</f>
        <v>0.5</v>
      </c>
      <c r="E141" s="393">
        <f>AVERAGE(D140:E140)</f>
        <v>1.5</v>
      </c>
      <c r="F141" s="393">
        <f t="shared" ref="F141:AO141" si="45">AVERAGE(E140:F140)</f>
        <v>2.5</v>
      </c>
      <c r="G141" s="393">
        <f t="shared" si="45"/>
        <v>3.5</v>
      </c>
      <c r="H141" s="393">
        <f t="shared" si="45"/>
        <v>4.5</v>
      </c>
      <c r="I141" s="393">
        <f t="shared" si="45"/>
        <v>5.5</v>
      </c>
      <c r="J141" s="393">
        <f t="shared" si="45"/>
        <v>6.5</v>
      </c>
      <c r="K141" s="393">
        <f t="shared" si="45"/>
        <v>7.5</v>
      </c>
      <c r="L141" s="393">
        <f t="shared" si="45"/>
        <v>8.5</v>
      </c>
      <c r="M141" s="393">
        <f t="shared" si="45"/>
        <v>9.5</v>
      </c>
      <c r="N141" s="393">
        <f t="shared" si="45"/>
        <v>10.5</v>
      </c>
      <c r="O141" s="393">
        <f t="shared" si="45"/>
        <v>11.5</v>
      </c>
      <c r="P141" s="393">
        <f t="shared" si="45"/>
        <v>12.5</v>
      </c>
      <c r="Q141" s="393">
        <f t="shared" si="45"/>
        <v>13.5</v>
      </c>
      <c r="R141" s="393">
        <f t="shared" si="45"/>
        <v>14.5</v>
      </c>
      <c r="S141" s="393">
        <f t="shared" si="45"/>
        <v>15.5</v>
      </c>
      <c r="T141" s="393">
        <f t="shared" si="45"/>
        <v>16.5</v>
      </c>
      <c r="U141" s="393">
        <f t="shared" si="45"/>
        <v>17.5</v>
      </c>
      <c r="V141" s="393">
        <f t="shared" si="45"/>
        <v>18.5</v>
      </c>
      <c r="W141" s="393">
        <f t="shared" si="45"/>
        <v>19.5</v>
      </c>
      <c r="X141" s="393">
        <f t="shared" si="45"/>
        <v>20.5</v>
      </c>
      <c r="Y141" s="393">
        <f t="shared" si="45"/>
        <v>21.5</v>
      </c>
      <c r="Z141" s="393">
        <f t="shared" si="45"/>
        <v>22.5</v>
      </c>
      <c r="AA141" s="393">
        <f t="shared" si="45"/>
        <v>23.5</v>
      </c>
      <c r="AB141" s="393">
        <f t="shared" si="45"/>
        <v>24.5</v>
      </c>
      <c r="AC141" s="393">
        <f t="shared" si="45"/>
        <v>25.5</v>
      </c>
      <c r="AD141" s="393">
        <f t="shared" si="45"/>
        <v>26.5</v>
      </c>
      <c r="AE141" s="393">
        <f t="shared" si="45"/>
        <v>27.5</v>
      </c>
      <c r="AF141" s="393">
        <f t="shared" si="45"/>
        <v>28.5</v>
      </c>
      <c r="AG141" s="393">
        <f t="shared" si="45"/>
        <v>29.5</v>
      </c>
      <c r="AH141" s="393">
        <f t="shared" si="45"/>
        <v>30.5</v>
      </c>
      <c r="AI141" s="393">
        <f t="shared" si="45"/>
        <v>31.5</v>
      </c>
      <c r="AJ141" s="393">
        <f t="shared" si="45"/>
        <v>32.5</v>
      </c>
      <c r="AK141" s="393">
        <f t="shared" si="45"/>
        <v>33.5</v>
      </c>
      <c r="AL141" s="393">
        <f t="shared" si="45"/>
        <v>34.5</v>
      </c>
      <c r="AM141" s="393">
        <f t="shared" si="45"/>
        <v>35.5</v>
      </c>
      <c r="AN141" s="393">
        <f t="shared" si="45"/>
        <v>36.5</v>
      </c>
      <c r="AO141" s="393">
        <f t="shared" si="45"/>
        <v>37.5</v>
      </c>
      <c r="AP141" s="393">
        <f>AVERAGE(AO140:AP140)</f>
        <v>38.5</v>
      </c>
      <c r="AQ141" s="393">
        <f t="shared" ref="AQ141:AY141" si="46">AVERAGE(AP140:AQ140)</f>
        <v>39.5</v>
      </c>
      <c r="AR141" s="393">
        <f t="shared" si="46"/>
        <v>40.5</v>
      </c>
      <c r="AS141" s="393">
        <f t="shared" si="46"/>
        <v>41.5</v>
      </c>
      <c r="AT141" s="393">
        <f t="shared" si="46"/>
        <v>42.5</v>
      </c>
      <c r="AU141" s="393">
        <f t="shared" si="46"/>
        <v>43.5</v>
      </c>
      <c r="AV141" s="393">
        <f t="shared" si="46"/>
        <v>44.5</v>
      </c>
      <c r="AW141" s="393">
        <f t="shared" si="46"/>
        <v>45.5</v>
      </c>
      <c r="AX141" s="393">
        <f t="shared" si="46"/>
        <v>46.5</v>
      </c>
      <c r="AY141" s="393">
        <f t="shared" si="46"/>
        <v>47.5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07"/>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07"/>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07"/>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07"/>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07"/>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07"/>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07"/>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07"/>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07"/>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07"/>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07"/>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07"/>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07"/>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07"/>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4"/>
      <c r="AR156" s="304"/>
      <c r="AS156" s="304"/>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row>
    <row r="157" spans="1:71" ht="12.75" x14ac:dyDescent="0.2">
      <c r="A157" s="306"/>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4"/>
      <c r="AR157" s="304"/>
      <c r="AS157" s="304"/>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row>
    <row r="158" spans="1:71" ht="12.75" x14ac:dyDescent="0.2">
      <c r="A158" s="306"/>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4"/>
      <c r="AR158" s="304"/>
      <c r="AS158" s="304"/>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row>
    <row r="159" spans="1:71" ht="12.75" x14ac:dyDescent="0.2">
      <c r="A159" s="306"/>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4"/>
      <c r="AR159" s="304"/>
      <c r="AS159" s="304"/>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row>
    <row r="160" spans="1:71" ht="12.75" x14ac:dyDescent="0.2">
      <c r="A160" s="306"/>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4"/>
      <c r="AR160" s="304"/>
      <c r="AS160" s="304"/>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row>
    <row r="161" spans="1:71" ht="12.75" x14ac:dyDescent="0.2">
      <c r="A161" s="306"/>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4"/>
      <c r="AR161" s="304"/>
      <c r="AS161" s="304"/>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row>
    <row r="162" spans="1:71" ht="12.75" x14ac:dyDescent="0.2">
      <c r="A162" s="306"/>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4"/>
      <c r="AR162" s="304"/>
      <c r="AS162" s="304"/>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row>
    <row r="163" spans="1:71" ht="12.75" x14ac:dyDescent="0.2">
      <c r="A163" s="306"/>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4"/>
      <c r="AR163" s="304"/>
      <c r="AS163" s="304"/>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row>
    <row r="164" spans="1:71" ht="12.75" x14ac:dyDescent="0.2">
      <c r="A164" s="306"/>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4"/>
      <c r="AR164" s="304"/>
      <c r="AS164" s="304"/>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row>
    <row r="165" spans="1:71" ht="12.75" x14ac:dyDescent="0.2">
      <c r="A165" s="306"/>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4"/>
      <c r="AR165" s="304"/>
      <c r="AS165" s="304"/>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row>
    <row r="166" spans="1:71" ht="12.75" x14ac:dyDescent="0.2">
      <c r="A166" s="306"/>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4"/>
      <c r="AR166" s="304"/>
      <c r="AS166" s="304"/>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row>
    <row r="167" spans="1:71" ht="12.75" x14ac:dyDescent="0.2">
      <c r="A167" s="306"/>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4"/>
      <c r="AR167" s="304"/>
      <c r="AS167" s="304"/>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row>
    <row r="168" spans="1:71" ht="12.75" x14ac:dyDescent="0.2">
      <c r="A168" s="306"/>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4"/>
      <c r="AR168" s="304"/>
      <c r="AS168" s="304"/>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row>
    <row r="169" spans="1:71" ht="12.75" x14ac:dyDescent="0.2">
      <c r="A169" s="306"/>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4"/>
      <c r="AR169" s="304"/>
      <c r="AS169" s="304"/>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row>
    <row r="170" spans="1:71" ht="12.75" x14ac:dyDescent="0.2">
      <c r="A170" s="306"/>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4"/>
      <c r="AR170" s="304"/>
      <c r="AS170" s="304"/>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row>
    <row r="171" spans="1:71" ht="12.75" x14ac:dyDescent="0.2">
      <c r="A171" s="306"/>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4"/>
      <c r="AR171" s="304"/>
      <c r="AS171" s="304"/>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row>
    <row r="172" spans="1:71" ht="12.75" x14ac:dyDescent="0.2">
      <c r="A172" s="306"/>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4"/>
      <c r="AR172" s="304"/>
      <c r="AS172" s="304"/>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row>
    <row r="173" spans="1:71" ht="12.75" x14ac:dyDescent="0.2">
      <c r="A173" s="306"/>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4"/>
      <c r="AR173" s="304"/>
      <c r="AS173" s="304"/>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row>
    <row r="174" spans="1:71" ht="12.75" x14ac:dyDescent="0.2">
      <c r="A174" s="306"/>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4"/>
      <c r="AR174" s="304"/>
      <c r="AS174" s="304"/>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row>
    <row r="175" spans="1:71" ht="12.75" x14ac:dyDescent="0.2">
      <c r="A175" s="306"/>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4"/>
      <c r="AR175" s="304"/>
      <c r="AS175" s="304"/>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row>
    <row r="176" spans="1:71" ht="12.75" x14ac:dyDescent="0.2">
      <c r="A176" s="306"/>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4"/>
      <c r="AR176" s="304"/>
      <c r="AS176" s="304"/>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row>
    <row r="177" spans="1:71" ht="12.75" x14ac:dyDescent="0.2">
      <c r="A177" s="306"/>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4"/>
      <c r="AR177" s="304"/>
      <c r="AS177" s="304"/>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row>
    <row r="178" spans="1:71" ht="12.75" x14ac:dyDescent="0.2">
      <c r="A178" s="306"/>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4"/>
      <c r="AR178" s="304"/>
      <c r="AS178" s="304"/>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row>
    <row r="179" spans="1:71" ht="12.75" x14ac:dyDescent="0.2">
      <c r="A179" s="306"/>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4"/>
      <c r="AR179" s="304"/>
      <c r="AS179" s="304"/>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row>
    <row r="180" spans="1:71" ht="12.75" x14ac:dyDescent="0.2">
      <c r="A180" s="306"/>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4"/>
      <c r="AR180" s="304"/>
      <c r="AS180" s="304"/>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row>
    <row r="181" spans="1:71" ht="12.75" x14ac:dyDescent="0.2">
      <c r="A181" s="306"/>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4"/>
      <c r="AR181" s="304"/>
      <c r="AS181" s="304"/>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row>
    <row r="182" spans="1:71" ht="12.75" x14ac:dyDescent="0.2">
      <c r="A182" s="306"/>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4"/>
      <c r="AR182" s="304"/>
      <c r="AS182" s="304"/>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row>
    <row r="183" spans="1:71" ht="12.75" x14ac:dyDescent="0.2">
      <c r="A183" s="306"/>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4"/>
      <c r="AR183" s="304"/>
      <c r="AS183" s="304"/>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row>
    <row r="184" spans="1:71" ht="12.75" x14ac:dyDescent="0.2">
      <c r="A184" s="306"/>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4"/>
      <c r="AR184" s="304"/>
      <c r="AS184" s="304"/>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row>
    <row r="185" spans="1:71" ht="12.75" x14ac:dyDescent="0.2">
      <c r="A185" s="306"/>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4"/>
      <c r="AR185" s="304"/>
      <c r="AS185" s="304"/>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row>
    <row r="186" spans="1:71" ht="12.75" x14ac:dyDescent="0.2">
      <c r="A186" s="306"/>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4"/>
      <c r="AR186" s="304"/>
      <c r="AS186" s="304"/>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row>
    <row r="187" spans="1:71" ht="12.75" x14ac:dyDescent="0.2">
      <c r="A187" s="306"/>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4"/>
      <c r="AR187" s="304"/>
      <c r="AS187" s="304"/>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row>
    <row r="188" spans="1:71" ht="12.75" x14ac:dyDescent="0.2">
      <c r="A188" s="306"/>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4"/>
      <c r="AR188" s="304"/>
      <c r="AS188" s="304"/>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row>
    <row r="189" spans="1:71" ht="12.75" x14ac:dyDescent="0.2">
      <c r="A189" s="306"/>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4"/>
      <c r="AR189" s="304"/>
      <c r="AS189" s="304"/>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row>
    <row r="190" spans="1:71" ht="12.75" x14ac:dyDescent="0.2">
      <c r="A190" s="306"/>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4"/>
      <c r="AR190" s="304"/>
      <c r="AS190" s="304"/>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row>
    <row r="191" spans="1:71" ht="12.75" x14ac:dyDescent="0.2">
      <c r="A191" s="306"/>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4"/>
      <c r="AR191" s="304"/>
      <c r="AS191" s="304"/>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row>
    <row r="192" spans="1:71" ht="12.75" x14ac:dyDescent="0.2">
      <c r="A192" s="306"/>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4"/>
      <c r="AR192" s="304"/>
      <c r="AS192" s="304"/>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row>
    <row r="193" spans="1:71" ht="12.75" x14ac:dyDescent="0.2">
      <c r="A193" s="306"/>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4"/>
      <c r="AR193" s="304"/>
      <c r="AS193" s="304"/>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row>
    <row r="194" spans="1:71" ht="12.75" x14ac:dyDescent="0.2">
      <c r="A194" s="306"/>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4"/>
      <c r="AR194" s="304"/>
      <c r="AS194" s="304"/>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row>
    <row r="195" spans="1:71" ht="12.75" x14ac:dyDescent="0.2">
      <c r="A195" s="306"/>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4"/>
      <c r="AR195" s="304"/>
      <c r="AS195" s="304"/>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row>
    <row r="196" spans="1:71" ht="12.75" x14ac:dyDescent="0.2">
      <c r="A196" s="306"/>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4"/>
      <c r="AR196" s="304"/>
      <c r="AS196" s="304"/>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row>
    <row r="197" spans="1:71" ht="12.75" x14ac:dyDescent="0.2">
      <c r="A197" s="306"/>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4"/>
      <c r="AR197" s="304"/>
      <c r="AS197" s="304"/>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row>
    <row r="198" spans="1:71" ht="12.75" x14ac:dyDescent="0.2">
      <c r="A198" s="306"/>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4"/>
      <c r="AR198" s="304"/>
      <c r="AS198" s="304"/>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row>
    <row r="199" spans="1:71" ht="12.75" x14ac:dyDescent="0.2">
      <c r="A199" s="306"/>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4"/>
      <c r="AR199" s="304"/>
      <c r="AS199" s="304"/>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row>
    <row r="200" spans="1:71" ht="12.75" x14ac:dyDescent="0.2">
      <c r="A200" s="306"/>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4"/>
      <c r="AR200" s="304"/>
      <c r="AS200" s="304"/>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row>
    <row r="201" spans="1:71" ht="12.75" x14ac:dyDescent="0.2">
      <c r="A201" s="306"/>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4"/>
      <c r="AR201" s="304"/>
      <c r="AS201" s="304"/>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row>
    <row r="202" spans="1:71" ht="12.75" x14ac:dyDescent="0.2">
      <c r="A202" s="306"/>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4"/>
      <c r="AR202" s="304"/>
      <c r="AS202" s="304"/>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row>
    <row r="203" spans="1:71" ht="12.75" x14ac:dyDescent="0.2">
      <c r="A203" s="306"/>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4"/>
      <c r="AR203" s="304"/>
      <c r="AS203" s="304"/>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row>
    <row r="204" spans="1:71" ht="12.75" x14ac:dyDescent="0.2">
      <c r="A204" s="306"/>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4"/>
      <c r="AR204" s="304"/>
      <c r="AS204" s="304"/>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row>
    <row r="205" spans="1:71" ht="12.75" x14ac:dyDescent="0.2">
      <c r="A205" s="306"/>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4"/>
      <c r="AR205" s="304"/>
      <c r="AS205" s="304"/>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row>
    <row r="206" spans="1:71" ht="12.75" x14ac:dyDescent="0.2">
      <c r="A206" s="306"/>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4"/>
      <c r="AR206" s="304"/>
      <c r="AS206" s="304"/>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row>
    <row r="207" spans="1:71" ht="12.75" x14ac:dyDescent="0.2">
      <c r="A207" s="306"/>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4"/>
      <c r="AR207" s="304"/>
      <c r="AS207" s="304"/>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row>
    <row r="208" spans="1:71" ht="12.75" x14ac:dyDescent="0.2">
      <c r="A208" s="306"/>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4"/>
      <c r="AR208" s="304"/>
      <c r="AS208" s="304"/>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9" zoomScale="70" zoomScaleNormal="100" zoomScaleSheetLayoutView="70" workbookViewId="0">
      <selection activeCell="I35" sqref="I35"/>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3" t="str">
        <f>'5. анализ эконом эфф'!A5</f>
        <v>Год раскрытия информации: 2024 год</v>
      </c>
      <c r="B5" s="413"/>
      <c r="C5" s="413"/>
      <c r="D5" s="413"/>
      <c r="E5" s="413"/>
      <c r="F5" s="413"/>
      <c r="G5" s="413"/>
      <c r="H5" s="413"/>
      <c r="I5" s="413"/>
      <c r="J5" s="413"/>
      <c r="K5" s="413"/>
    </row>
    <row r="6" spans="1:11" ht="15.75" x14ac:dyDescent="0.25">
      <c r="A6" s="16"/>
      <c r="B6" s="16"/>
      <c r="C6" s="51"/>
      <c r="D6" s="51"/>
      <c r="E6" s="51"/>
      <c r="F6" s="51"/>
      <c r="G6" s="51"/>
      <c r="H6" s="51"/>
      <c r="I6" s="51"/>
      <c r="J6" s="16"/>
      <c r="K6" s="16"/>
    </row>
    <row r="7" spans="1:11" ht="18.75" x14ac:dyDescent="0.25">
      <c r="A7" s="495" t="s">
        <v>7</v>
      </c>
      <c r="B7" s="495"/>
      <c r="C7" s="495"/>
      <c r="D7" s="495"/>
      <c r="E7" s="495"/>
      <c r="F7" s="495"/>
      <c r="G7" s="495"/>
      <c r="H7" s="495"/>
      <c r="I7" s="495"/>
      <c r="J7" s="495"/>
      <c r="K7" s="495"/>
    </row>
    <row r="8" spans="1:11" ht="18.75" x14ac:dyDescent="0.25">
      <c r="A8" s="495"/>
      <c r="B8" s="495"/>
      <c r="C8" s="495"/>
      <c r="D8" s="495"/>
      <c r="E8" s="495"/>
      <c r="F8" s="495"/>
      <c r="G8" s="495"/>
      <c r="H8" s="495"/>
      <c r="I8" s="495"/>
      <c r="J8" s="495"/>
      <c r="K8" s="495"/>
    </row>
    <row r="9" spans="1:11" ht="15.75" x14ac:dyDescent="0.25">
      <c r="A9" s="496" t="str">
        <f>'5. анализ эконом эфф'!A9</f>
        <v>Акционерное общество "Россети Янтарь" ДЗО  ПАО "Россети"</v>
      </c>
      <c r="B9" s="496"/>
      <c r="C9" s="496"/>
      <c r="D9" s="496"/>
      <c r="E9" s="496"/>
      <c r="F9" s="496"/>
      <c r="G9" s="496"/>
      <c r="H9" s="496"/>
      <c r="I9" s="496"/>
      <c r="J9" s="496"/>
      <c r="K9" s="496"/>
    </row>
    <row r="10" spans="1:11" ht="15.75" x14ac:dyDescent="0.25">
      <c r="A10" s="482" t="s">
        <v>6</v>
      </c>
      <c r="B10" s="482"/>
      <c r="C10" s="482"/>
      <c r="D10" s="482"/>
      <c r="E10" s="482"/>
      <c r="F10" s="482"/>
      <c r="G10" s="482"/>
      <c r="H10" s="482"/>
      <c r="I10" s="482"/>
      <c r="J10" s="482"/>
      <c r="K10" s="482"/>
    </row>
    <row r="11" spans="1:11" ht="18.75" x14ac:dyDescent="0.25">
      <c r="A11" s="495"/>
      <c r="B11" s="495"/>
      <c r="C11" s="495"/>
      <c r="D11" s="495"/>
      <c r="E11" s="495"/>
      <c r="F11" s="495"/>
      <c r="G11" s="495"/>
      <c r="H11" s="495"/>
      <c r="I11" s="495"/>
      <c r="J11" s="495"/>
      <c r="K11" s="495"/>
    </row>
    <row r="12" spans="1:11" ht="15.75" x14ac:dyDescent="0.25">
      <c r="A12" s="496" t="str">
        <f>'5. анализ эконом эфф'!A12</f>
        <v>O_23-1261</v>
      </c>
      <c r="B12" s="496"/>
      <c r="C12" s="496"/>
      <c r="D12" s="496"/>
      <c r="E12" s="496"/>
      <c r="F12" s="496"/>
      <c r="G12" s="496"/>
      <c r="H12" s="496"/>
      <c r="I12" s="496"/>
      <c r="J12" s="496"/>
      <c r="K12" s="496"/>
    </row>
    <row r="13" spans="1:11" ht="15.75" x14ac:dyDescent="0.25">
      <c r="A13" s="482" t="s">
        <v>5</v>
      </c>
      <c r="B13" s="482"/>
      <c r="C13" s="482"/>
      <c r="D13" s="482"/>
      <c r="E13" s="482"/>
      <c r="F13" s="482"/>
      <c r="G13" s="482"/>
      <c r="H13" s="482"/>
      <c r="I13" s="482"/>
      <c r="J13" s="482"/>
      <c r="K13" s="482"/>
    </row>
    <row r="14" spans="1:11" ht="18.75" x14ac:dyDescent="0.25">
      <c r="A14" s="426"/>
      <c r="B14" s="426"/>
      <c r="C14" s="426"/>
      <c r="D14" s="426"/>
      <c r="E14" s="426"/>
      <c r="F14" s="426"/>
      <c r="G14" s="426"/>
      <c r="H14" s="426"/>
      <c r="I14" s="426"/>
      <c r="J14" s="426"/>
      <c r="K14" s="426"/>
    </row>
    <row r="15" spans="1:11" ht="15.75" x14ac:dyDescent="0.25">
      <c r="A15" s="483" t="str">
        <f>'5. анализ эконом эфф'!A15</f>
        <v>Строительство ЛЭП 0,4 кВ от ТП 034-10, организация системы учета электроэнергии г. Гурьевск, Пражский бульвар</v>
      </c>
      <c r="B15" s="483"/>
      <c r="C15" s="483"/>
      <c r="D15" s="483"/>
      <c r="E15" s="483"/>
      <c r="F15" s="483"/>
      <c r="G15" s="483"/>
      <c r="H15" s="483"/>
      <c r="I15" s="483"/>
      <c r="J15" s="483"/>
      <c r="K15" s="483"/>
    </row>
    <row r="16" spans="1:11" ht="15.75" x14ac:dyDescent="0.25">
      <c r="A16" s="482" t="s">
        <v>4</v>
      </c>
      <c r="B16" s="482"/>
      <c r="C16" s="482"/>
      <c r="D16" s="482"/>
      <c r="E16" s="482"/>
      <c r="F16" s="482"/>
      <c r="G16" s="482"/>
      <c r="H16" s="482"/>
      <c r="I16" s="482"/>
      <c r="J16" s="482"/>
      <c r="K16" s="48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0" t="s">
        <v>358</v>
      </c>
      <c r="B19" s="490"/>
      <c r="C19" s="490"/>
      <c r="D19" s="490"/>
      <c r="E19" s="490"/>
      <c r="F19" s="490"/>
      <c r="G19" s="490"/>
      <c r="H19" s="490"/>
      <c r="I19" s="490"/>
      <c r="J19" s="490"/>
      <c r="K19" s="490"/>
    </row>
    <row r="20" spans="1:12" ht="15.75" x14ac:dyDescent="0.25">
      <c r="A20" s="52"/>
      <c r="K20" s="51"/>
    </row>
    <row r="21" spans="1:12" ht="15.75" x14ac:dyDescent="0.25">
      <c r="A21" s="484" t="s">
        <v>193</v>
      </c>
      <c r="B21" s="484" t="s">
        <v>397</v>
      </c>
      <c r="C21" s="484" t="s">
        <v>402</v>
      </c>
      <c r="D21" s="484"/>
      <c r="E21" s="484"/>
      <c r="F21" s="484"/>
      <c r="G21" s="484"/>
      <c r="H21" s="484"/>
      <c r="I21" s="485" t="s">
        <v>192</v>
      </c>
      <c r="J21" s="486" t="s">
        <v>403</v>
      </c>
      <c r="K21" s="484" t="s">
        <v>191</v>
      </c>
      <c r="L21" s="481" t="s">
        <v>471</v>
      </c>
    </row>
    <row r="22" spans="1:12" ht="32.25" customHeight="1" x14ac:dyDescent="0.25">
      <c r="A22" s="484"/>
      <c r="B22" s="484"/>
      <c r="C22" s="489" t="s">
        <v>2</v>
      </c>
      <c r="D22" s="489"/>
      <c r="E22" s="493" t="s">
        <v>9</v>
      </c>
      <c r="F22" s="494"/>
      <c r="G22" s="491" t="s">
        <v>464</v>
      </c>
      <c r="H22" s="492"/>
      <c r="I22" s="485"/>
      <c r="J22" s="487"/>
      <c r="K22" s="484"/>
      <c r="L22" s="481"/>
    </row>
    <row r="23" spans="1:12" ht="31.5" x14ac:dyDescent="0.25">
      <c r="A23" s="484"/>
      <c r="B23" s="484"/>
      <c r="C23" s="136" t="s">
        <v>190</v>
      </c>
      <c r="D23" s="136" t="s">
        <v>189</v>
      </c>
      <c r="E23" s="136" t="s">
        <v>190</v>
      </c>
      <c r="F23" s="136" t="s">
        <v>189</v>
      </c>
      <c r="G23" s="136" t="s">
        <v>190</v>
      </c>
      <c r="H23" s="136" t="s">
        <v>189</v>
      </c>
      <c r="I23" s="485"/>
      <c r="J23" s="488"/>
      <c r="K23" s="484"/>
      <c r="L23" s="481"/>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1"/>
      <c r="D25" s="331"/>
      <c r="E25" s="137"/>
      <c r="F25" s="137"/>
      <c r="G25" s="331"/>
      <c r="H25" s="331"/>
      <c r="I25" s="152"/>
      <c r="J25" s="139"/>
      <c r="K25" s="140"/>
      <c r="L25" s="141"/>
    </row>
    <row r="26" spans="1:12" ht="15.75" x14ac:dyDescent="0.25">
      <c r="A26" s="147" t="s">
        <v>404</v>
      </c>
      <c r="B26" s="149" t="s">
        <v>405</v>
      </c>
      <c r="C26" s="332" t="s">
        <v>478</v>
      </c>
      <c r="D26" s="332" t="s">
        <v>478</v>
      </c>
      <c r="E26" s="160">
        <v>45103</v>
      </c>
      <c r="F26" s="160">
        <v>45103</v>
      </c>
      <c r="G26" s="160"/>
      <c r="H26" s="160"/>
      <c r="I26" s="316">
        <v>100</v>
      </c>
      <c r="J26" s="316"/>
      <c r="K26" s="140"/>
      <c r="L26" s="140"/>
    </row>
    <row r="27" spans="1:12" ht="31.5" x14ac:dyDescent="0.25">
      <c r="A27" s="147" t="s">
        <v>407</v>
      </c>
      <c r="B27" s="149" t="s">
        <v>408</v>
      </c>
      <c r="C27" s="332" t="s">
        <v>478</v>
      </c>
      <c r="D27" s="332" t="s">
        <v>478</v>
      </c>
      <c r="E27" s="160" t="s">
        <v>406</v>
      </c>
      <c r="F27" s="160" t="s">
        <v>406</v>
      </c>
      <c r="G27" s="160"/>
      <c r="H27" s="160"/>
      <c r="I27" s="316"/>
      <c r="J27" s="316"/>
      <c r="K27" s="140"/>
      <c r="L27" s="140"/>
    </row>
    <row r="28" spans="1:12" ht="47.25" x14ac:dyDescent="0.25">
      <c r="A28" s="147" t="s">
        <v>410</v>
      </c>
      <c r="B28" s="149" t="s">
        <v>409</v>
      </c>
      <c r="C28" s="332" t="s">
        <v>478</v>
      </c>
      <c r="D28" s="332" t="s">
        <v>478</v>
      </c>
      <c r="E28" s="160" t="s">
        <v>406</v>
      </c>
      <c r="F28" s="160" t="s">
        <v>406</v>
      </c>
      <c r="G28" s="160"/>
      <c r="H28" s="160"/>
      <c r="I28" s="316"/>
      <c r="J28" s="316"/>
      <c r="K28" s="140"/>
      <c r="L28" s="140"/>
    </row>
    <row r="29" spans="1:12" ht="31.5" x14ac:dyDescent="0.25">
      <c r="A29" s="147" t="s">
        <v>412</v>
      </c>
      <c r="B29" s="149" t="s">
        <v>411</v>
      </c>
      <c r="C29" s="332" t="s">
        <v>478</v>
      </c>
      <c r="D29" s="332" t="s">
        <v>478</v>
      </c>
      <c r="E29" s="160" t="s">
        <v>406</v>
      </c>
      <c r="F29" s="160" t="s">
        <v>406</v>
      </c>
      <c r="G29" s="160"/>
      <c r="H29" s="160"/>
      <c r="I29" s="316"/>
      <c r="J29" s="316"/>
      <c r="K29" s="140"/>
      <c r="L29" s="140"/>
    </row>
    <row r="30" spans="1:12" ht="31.5" x14ac:dyDescent="0.25">
      <c r="A30" s="147" t="s">
        <v>414</v>
      </c>
      <c r="B30" s="149" t="s">
        <v>413</v>
      </c>
      <c r="C30" s="332" t="s">
        <v>478</v>
      </c>
      <c r="D30" s="332" t="s">
        <v>478</v>
      </c>
      <c r="E30" s="160" t="s">
        <v>406</v>
      </c>
      <c r="F30" s="160" t="s">
        <v>406</v>
      </c>
      <c r="G30" s="160"/>
      <c r="H30" s="160"/>
      <c r="I30" s="316"/>
      <c r="J30" s="316"/>
      <c r="K30" s="140"/>
      <c r="L30" s="140"/>
    </row>
    <row r="31" spans="1:12" ht="31.5" x14ac:dyDescent="0.25">
      <c r="A31" s="147" t="s">
        <v>415</v>
      </c>
      <c r="B31" s="149" t="s">
        <v>322</v>
      </c>
      <c r="C31" s="332" t="s">
        <v>478</v>
      </c>
      <c r="D31" s="332" t="s">
        <v>478</v>
      </c>
      <c r="E31" s="160">
        <v>45322</v>
      </c>
      <c r="F31" s="160">
        <v>45322</v>
      </c>
      <c r="G31" s="160"/>
      <c r="H31" s="160"/>
      <c r="I31" s="316">
        <v>100</v>
      </c>
      <c r="J31" s="316">
        <v>100</v>
      </c>
      <c r="K31" s="140"/>
      <c r="L31" s="140"/>
    </row>
    <row r="32" spans="1:12" ht="31.5" x14ac:dyDescent="0.25">
      <c r="A32" s="147" t="s">
        <v>417</v>
      </c>
      <c r="B32" s="149" t="s">
        <v>416</v>
      </c>
      <c r="C32" s="332" t="s">
        <v>478</v>
      </c>
      <c r="D32" s="332" t="s">
        <v>478</v>
      </c>
      <c r="E32" s="160">
        <v>45343</v>
      </c>
      <c r="F32" s="160">
        <v>45343</v>
      </c>
      <c r="G32" s="160"/>
      <c r="H32" s="160"/>
      <c r="I32" s="316">
        <v>100</v>
      </c>
      <c r="J32" s="316">
        <v>100</v>
      </c>
      <c r="K32" s="140"/>
      <c r="L32" s="140"/>
    </row>
    <row r="33" spans="1:12" ht="47.25" x14ac:dyDescent="0.25">
      <c r="A33" s="147" t="s">
        <v>419</v>
      </c>
      <c r="B33" s="149" t="s">
        <v>418</v>
      </c>
      <c r="C33" s="332" t="s">
        <v>478</v>
      </c>
      <c r="D33" s="332" t="s">
        <v>478</v>
      </c>
      <c r="E33" s="160" t="s">
        <v>406</v>
      </c>
      <c r="F33" s="160" t="s">
        <v>406</v>
      </c>
      <c r="G33" s="160"/>
      <c r="H33" s="160"/>
      <c r="I33" s="316"/>
      <c r="J33" s="316"/>
      <c r="K33" s="140"/>
      <c r="L33" s="140"/>
    </row>
    <row r="34" spans="1:12" ht="63" x14ac:dyDescent="0.25">
      <c r="A34" s="147" t="s">
        <v>421</v>
      </c>
      <c r="B34" s="149" t="s">
        <v>420</v>
      </c>
      <c r="C34" s="332" t="s">
        <v>478</v>
      </c>
      <c r="D34" s="332" t="s">
        <v>478</v>
      </c>
      <c r="E34" s="160" t="s">
        <v>406</v>
      </c>
      <c r="F34" s="160" t="s">
        <v>406</v>
      </c>
      <c r="G34" s="160"/>
      <c r="H34" s="160"/>
      <c r="I34" s="316"/>
      <c r="J34" s="316"/>
      <c r="K34" s="142"/>
      <c r="L34" s="140"/>
    </row>
    <row r="35" spans="1:12" ht="31.5" x14ac:dyDescent="0.25">
      <c r="A35" s="147" t="s">
        <v>422</v>
      </c>
      <c r="B35" s="149" t="s">
        <v>187</v>
      </c>
      <c r="C35" s="332" t="s">
        <v>478</v>
      </c>
      <c r="D35" s="332" t="s">
        <v>478</v>
      </c>
      <c r="E35" s="322">
        <v>45393</v>
      </c>
      <c r="F35" s="322">
        <v>45393</v>
      </c>
      <c r="G35" s="322"/>
      <c r="H35" s="322"/>
      <c r="I35" s="316">
        <v>100</v>
      </c>
      <c r="J35" s="316"/>
      <c r="K35" s="142"/>
      <c r="L35" s="140"/>
    </row>
    <row r="36" spans="1:12" ht="31.5" x14ac:dyDescent="0.25">
      <c r="A36" s="147" t="s">
        <v>424</v>
      </c>
      <c r="B36" s="149" t="s">
        <v>423</v>
      </c>
      <c r="C36" s="332" t="s">
        <v>478</v>
      </c>
      <c r="D36" s="332" t="s">
        <v>478</v>
      </c>
      <c r="E36" s="160" t="s">
        <v>406</v>
      </c>
      <c r="F36" s="160" t="s">
        <v>406</v>
      </c>
      <c r="G36" s="160"/>
      <c r="H36" s="160"/>
      <c r="I36" s="316"/>
      <c r="J36" s="316"/>
      <c r="K36" s="143"/>
      <c r="L36" s="140"/>
    </row>
    <row r="37" spans="1:12" ht="15.75" x14ac:dyDescent="0.25">
      <c r="A37" s="147" t="s">
        <v>425</v>
      </c>
      <c r="B37" s="149" t="s">
        <v>186</v>
      </c>
      <c r="C37" s="332" t="s">
        <v>478</v>
      </c>
      <c r="D37" s="332" t="s">
        <v>478</v>
      </c>
      <c r="E37" s="160">
        <v>45343</v>
      </c>
      <c r="F37" s="160">
        <v>45343</v>
      </c>
      <c r="G37" s="160"/>
      <c r="H37" s="160"/>
      <c r="I37" s="316">
        <v>100</v>
      </c>
      <c r="J37" s="316">
        <v>100</v>
      </c>
      <c r="K37" s="143"/>
      <c r="L37" s="140"/>
    </row>
    <row r="38" spans="1:12" ht="15.75" x14ac:dyDescent="0.25">
      <c r="A38" s="150" t="s">
        <v>465</v>
      </c>
      <c r="B38" s="148" t="s">
        <v>185</v>
      </c>
      <c r="C38" s="332" t="s">
        <v>478</v>
      </c>
      <c r="D38" s="332" t="s">
        <v>478</v>
      </c>
      <c r="E38" s="160"/>
      <c r="F38" s="160"/>
      <c r="G38" s="160"/>
      <c r="H38" s="160"/>
      <c r="I38" s="316"/>
      <c r="J38" s="316"/>
      <c r="K38" s="140"/>
      <c r="L38" s="140"/>
    </row>
    <row r="39" spans="1:12" ht="63" x14ac:dyDescent="0.25">
      <c r="A39" s="147" t="s">
        <v>427</v>
      </c>
      <c r="B39" s="149" t="s">
        <v>426</v>
      </c>
      <c r="C39" s="332" t="s">
        <v>478</v>
      </c>
      <c r="D39" s="332" t="s">
        <v>478</v>
      </c>
      <c r="E39" s="160">
        <v>45322</v>
      </c>
      <c r="F39" s="160">
        <v>45322</v>
      </c>
      <c r="G39" s="160"/>
      <c r="H39" s="160"/>
      <c r="I39" s="316">
        <v>100</v>
      </c>
      <c r="J39" s="316">
        <v>100</v>
      </c>
      <c r="K39" s="140"/>
      <c r="L39" s="140"/>
    </row>
    <row r="40" spans="1:12" ht="15.75" x14ac:dyDescent="0.25">
      <c r="A40" s="147" t="s">
        <v>429</v>
      </c>
      <c r="B40" s="149" t="s">
        <v>428</v>
      </c>
      <c r="C40" s="332" t="s">
        <v>478</v>
      </c>
      <c r="D40" s="332" t="s">
        <v>478</v>
      </c>
      <c r="E40" s="160" t="s">
        <v>406</v>
      </c>
      <c r="F40" s="160" t="s">
        <v>406</v>
      </c>
      <c r="G40" s="160"/>
      <c r="H40" s="160"/>
      <c r="I40" s="316"/>
      <c r="J40" s="316"/>
      <c r="K40" s="140"/>
      <c r="L40" s="140"/>
    </row>
    <row r="41" spans="1:12" ht="47.25" x14ac:dyDescent="0.25">
      <c r="A41" s="147" t="s">
        <v>466</v>
      </c>
      <c r="B41" s="148" t="s">
        <v>430</v>
      </c>
      <c r="C41" s="332" t="s">
        <v>478</v>
      </c>
      <c r="D41" s="336" t="s">
        <v>478</v>
      </c>
      <c r="E41" s="160"/>
      <c r="F41" s="315"/>
      <c r="G41" s="160"/>
      <c r="H41" s="315"/>
      <c r="I41" s="316"/>
      <c r="J41" s="316"/>
      <c r="K41" s="140"/>
      <c r="L41" s="140"/>
    </row>
    <row r="42" spans="1:12" ht="31.5" x14ac:dyDescent="0.25">
      <c r="A42" s="147" t="s">
        <v>432</v>
      </c>
      <c r="B42" s="149" t="s">
        <v>431</v>
      </c>
      <c r="C42" s="332" t="s">
        <v>478</v>
      </c>
      <c r="D42" s="332" t="s">
        <v>478</v>
      </c>
      <c r="E42" s="160" t="s">
        <v>406</v>
      </c>
      <c r="F42" s="160" t="s">
        <v>406</v>
      </c>
      <c r="G42" s="160"/>
      <c r="H42" s="160"/>
      <c r="I42" s="316"/>
      <c r="J42" s="316"/>
      <c r="K42" s="140"/>
      <c r="L42" s="140"/>
    </row>
    <row r="43" spans="1:12" ht="15.75" x14ac:dyDescent="0.25">
      <c r="A43" s="147" t="s">
        <v>433</v>
      </c>
      <c r="B43" s="149" t="s">
        <v>184</v>
      </c>
      <c r="C43" s="332" t="s">
        <v>478</v>
      </c>
      <c r="D43" s="332" t="s">
        <v>478</v>
      </c>
      <c r="E43" s="160" t="s">
        <v>406</v>
      </c>
      <c r="F43" s="160" t="s">
        <v>406</v>
      </c>
      <c r="G43" s="160"/>
      <c r="H43" s="160"/>
      <c r="I43" s="316"/>
      <c r="J43" s="316"/>
      <c r="K43" s="140"/>
      <c r="L43" s="140"/>
    </row>
    <row r="44" spans="1:12" ht="15.75" x14ac:dyDescent="0.25">
      <c r="A44" s="147" t="s">
        <v>435</v>
      </c>
      <c r="B44" s="149" t="s">
        <v>434</v>
      </c>
      <c r="C44" s="332" t="s">
        <v>478</v>
      </c>
      <c r="D44" s="332" t="s">
        <v>478</v>
      </c>
      <c r="E44" s="332"/>
      <c r="F44" s="332"/>
      <c r="G44" s="160"/>
      <c r="H44" s="332"/>
      <c r="I44" s="316"/>
      <c r="J44" s="316"/>
      <c r="K44" s="140"/>
      <c r="L44" s="140"/>
    </row>
    <row r="45" spans="1:12" ht="78.75" x14ac:dyDescent="0.25">
      <c r="A45" s="147" t="s">
        <v>437</v>
      </c>
      <c r="B45" s="149" t="s">
        <v>436</v>
      </c>
      <c r="C45" s="332" t="s">
        <v>478</v>
      </c>
      <c r="D45" s="332" t="s">
        <v>478</v>
      </c>
      <c r="E45" s="332"/>
      <c r="F45" s="332"/>
      <c r="G45" s="160"/>
      <c r="H45" s="160"/>
      <c r="I45" s="316"/>
      <c r="J45" s="316"/>
      <c r="K45" s="140"/>
      <c r="L45" s="140"/>
    </row>
    <row r="46" spans="1:12" ht="157.5" x14ac:dyDescent="0.25">
      <c r="A46" s="147" t="s">
        <v>439</v>
      </c>
      <c r="B46" s="149" t="s">
        <v>438</v>
      </c>
      <c r="C46" s="332" t="s">
        <v>478</v>
      </c>
      <c r="D46" s="332" t="s">
        <v>478</v>
      </c>
      <c r="E46" s="332"/>
      <c r="F46" s="332"/>
      <c r="G46" s="160"/>
      <c r="H46" s="160"/>
      <c r="I46" s="316"/>
      <c r="J46" s="316"/>
      <c r="K46" s="140"/>
      <c r="L46" s="140"/>
    </row>
    <row r="47" spans="1:12" ht="15.75" x14ac:dyDescent="0.25">
      <c r="A47" s="147" t="s">
        <v>472</v>
      </c>
      <c r="B47" s="149" t="s">
        <v>440</v>
      </c>
      <c r="C47" s="332" t="s">
        <v>478</v>
      </c>
      <c r="D47" s="332" t="s">
        <v>478</v>
      </c>
      <c r="E47" s="332"/>
      <c r="F47" s="332"/>
      <c r="G47" s="332"/>
      <c r="H47" s="332"/>
      <c r="I47" s="316"/>
      <c r="J47" s="316"/>
      <c r="K47" s="140"/>
      <c r="L47" s="140"/>
    </row>
    <row r="48" spans="1:12" ht="31.5" x14ac:dyDescent="0.25">
      <c r="A48" s="147" t="s">
        <v>467</v>
      </c>
      <c r="B48" s="148" t="s">
        <v>183</v>
      </c>
      <c r="C48" s="332" t="s">
        <v>478</v>
      </c>
      <c r="D48" s="336" t="s">
        <v>478</v>
      </c>
      <c r="E48" s="332"/>
      <c r="F48" s="332"/>
      <c r="G48" s="332"/>
      <c r="H48" s="332"/>
      <c r="I48" s="316"/>
      <c r="J48" s="316"/>
      <c r="K48" s="140"/>
      <c r="L48" s="140"/>
    </row>
    <row r="49" spans="1:12" ht="31.5" x14ac:dyDescent="0.25">
      <c r="A49" s="147" t="s">
        <v>473</v>
      </c>
      <c r="B49" s="149" t="s">
        <v>182</v>
      </c>
      <c r="C49" s="332" t="s">
        <v>478</v>
      </c>
      <c r="D49" s="332" t="s">
        <v>478</v>
      </c>
      <c r="E49" s="332"/>
      <c r="F49" s="332"/>
      <c r="G49" s="332"/>
      <c r="H49" s="332"/>
      <c r="I49" s="316"/>
      <c r="J49" s="316"/>
      <c r="K49" s="140"/>
      <c r="L49" s="140"/>
    </row>
    <row r="50" spans="1:12" ht="78.75" x14ac:dyDescent="0.25">
      <c r="A50" s="150" t="s">
        <v>442</v>
      </c>
      <c r="B50" s="149" t="s">
        <v>441</v>
      </c>
      <c r="C50" s="332" t="s">
        <v>478</v>
      </c>
      <c r="D50" s="332" t="s">
        <v>478</v>
      </c>
      <c r="E50" s="332"/>
      <c r="F50" s="332"/>
      <c r="G50" s="332"/>
      <c r="H50" s="332"/>
      <c r="I50" s="316"/>
      <c r="J50" s="316"/>
      <c r="K50" s="140"/>
      <c r="L50" s="140"/>
    </row>
    <row r="51" spans="1:12" ht="63" x14ac:dyDescent="0.25">
      <c r="A51" s="147" t="s">
        <v>444</v>
      </c>
      <c r="B51" s="149" t="s">
        <v>443</v>
      </c>
      <c r="C51" s="332" t="s">
        <v>478</v>
      </c>
      <c r="D51" s="332" t="s">
        <v>478</v>
      </c>
      <c r="E51" s="332"/>
      <c r="F51" s="332"/>
      <c r="G51" s="160"/>
      <c r="H51" s="160"/>
      <c r="I51" s="316"/>
      <c r="J51" s="316"/>
      <c r="K51" s="140"/>
      <c r="L51" s="140"/>
    </row>
    <row r="52" spans="1:12" ht="63" x14ac:dyDescent="0.25">
      <c r="A52" s="147" t="s">
        <v>446</v>
      </c>
      <c r="B52" s="149" t="s">
        <v>445</v>
      </c>
      <c r="C52" s="332" t="s">
        <v>478</v>
      </c>
      <c r="D52" s="332" t="s">
        <v>478</v>
      </c>
      <c r="E52" s="332"/>
      <c r="F52" s="332"/>
      <c r="G52" s="332"/>
      <c r="H52" s="332"/>
      <c r="I52" s="316"/>
      <c r="J52" s="316"/>
      <c r="K52" s="140"/>
      <c r="L52" s="140"/>
    </row>
    <row r="53" spans="1:12" ht="31.5" x14ac:dyDescent="0.25">
      <c r="A53" s="147" t="s">
        <v>448</v>
      </c>
      <c r="B53" s="151" t="s">
        <v>447</v>
      </c>
      <c r="C53" s="332" t="s">
        <v>478</v>
      </c>
      <c r="D53" s="332" t="s">
        <v>478</v>
      </c>
      <c r="E53" s="332"/>
      <c r="F53" s="332"/>
      <c r="G53" s="332"/>
      <c r="H53" s="332"/>
      <c r="I53" s="316"/>
      <c r="J53" s="316"/>
      <c r="K53" s="140"/>
      <c r="L53" s="140"/>
    </row>
    <row r="54" spans="1:12" ht="31.5" x14ac:dyDescent="0.25">
      <c r="A54" s="147" t="s">
        <v>474</v>
      </c>
      <c r="B54" s="149" t="s">
        <v>449</v>
      </c>
      <c r="C54" s="332" t="s">
        <v>478</v>
      </c>
      <c r="D54" s="332" t="s">
        <v>478</v>
      </c>
      <c r="E54" s="332"/>
      <c r="F54" s="332"/>
      <c r="G54" s="160"/>
      <c r="H54" s="160"/>
      <c r="I54" s="316"/>
      <c r="J54" s="316"/>
      <c r="K54" s="140"/>
      <c r="L54" s="140"/>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2024-05-02T14:48:59Z</dcterms:modified>
</cp:coreProperties>
</file>