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customXml/itemProps1.xml" ContentType="application/vnd.openxmlformats-officedocument.customXmlProperties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pivotTables/pivotTable1.xml" ContentType="application/vnd.openxmlformats-officedocument.spreadsheetml.pivotTable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9"/>
  </bookViews>
  <sheets>
    <sheet name="Сравнение ТС" sheetId="1" state="visible" r:id="rId3"/>
    <sheet name="на2024г. 25.12 8кк -склад" sheetId="2" state="hidden" r:id="rId4"/>
    <sheet name="Сводная таблица" sheetId="3" state="hidden" r:id="rId5"/>
    <sheet name="Объемы работ 2026" sheetId="4" state="visible" r:id="rId6"/>
    <sheet name="СВОД 15.01.24" sheetId="5" state="hidden" r:id="rId7"/>
    <sheet name="Сравнение с ТЗ" sheetId="6" state="hidden" r:id="rId8"/>
    <sheet name="Остатки на складах" sheetId="7" state="hidden" r:id="rId9"/>
    <sheet name="Объемы работ на подпись на 2025" sheetId="8" state="hidden" r:id="rId10"/>
    <sheet name="СВОД на 2026г" sheetId="9" state="visible" r:id="rId11"/>
    <sheet name="свод затрат на 2026г" sheetId="10" state="visible" r:id="rId12"/>
    <sheet name="НЕ ТРАГАТЬ ДЛЯ ЗАПОЛНЕНИЯ!!!!!" sheetId="11" state="hidden" r:id="rId13"/>
  </sheets>
  <definedNames>
    <definedName name="_xlnm._FilterDatabase" localSheetId="1" hidden="1">'на2024г. 25.12 8кк -склад'!$B$3:$U$168</definedName>
    <definedName name="_xlnm._FilterDatabase" localSheetId="3" hidden="1">'Объемы работ 2026'!$A$1:$I$153</definedName>
    <definedName name="_xlnm._FilterDatabase" localSheetId="4" hidden="1">'СВОД 15.01.24'!$B$1:$J$58</definedName>
    <definedName name="_Hlk154565795" localSheetId="5">'Сравнение с ТЗ'!$A$2</definedName>
    <definedName name="_xlnm._FilterDatabase" localSheetId="5" hidden="1">'Сравнение с ТЗ'!$A$2:$L$43</definedName>
    <definedName name="_xlnm._FilterDatabase" localSheetId="6" hidden="1">'Остатки на складах'!$A$15:$I$177</definedName>
    <definedName name="_xlnm._FilterDatabase" localSheetId="7" hidden="1">'Объемы работ на подпись на 2025'!$B$10:$D$166</definedName>
    <definedName name="Print_Titles" localSheetId="7">'Объемы работ на подпись на 2025'!$10:$10</definedName>
    <definedName name="_xlnm._FilterDatabase" localSheetId="8" hidden="1">'СВОД на 2026г'!$A$1:$M$106</definedName>
    <definedName name="_xlnm._FilterDatabase" localSheetId="10" hidden="1">'НЕ ТРАГАТЬ ДЛЯ ЗАПОЛНЕНИЯ!!!!!'!$A$3:$P$281</definedName>
    <definedName name="_xlnm._FilterDatabase" localSheetId="1" hidden="1">'на2024г. 25.12 8кк -склад'!$B$3:$U$168</definedName>
    <definedName name="_xlnm._FilterDatabase" localSheetId="3" hidden="1">'Объемы работ 2026'!$A$1:$I$153</definedName>
    <definedName name="_xlnm._FilterDatabase" localSheetId="4" hidden="1">'СВОД 15.01.24'!$B$1:$J$58</definedName>
    <definedName name="_xlnm._FilterDatabase" localSheetId="5" hidden="1">'Сравнение с ТЗ'!$A$2:$L$43</definedName>
    <definedName name="_xlnm._FilterDatabase" localSheetId="6" hidden="1">'Остатки на складах'!$A$15:$I$177</definedName>
    <definedName name="_xlnm._FilterDatabase" localSheetId="7" hidden="1">'Объемы работ на подпись на 2025'!$B$10:$D$166</definedName>
    <definedName name="_xlnm._FilterDatabase" localSheetId="8" hidden="1">'СВОД на 2026г'!$A$1:$M$106</definedName>
    <definedName name="_xlnm._FilterDatabase" localSheetId="10" hidden="1">'НЕ ТРАГАТЬ ДЛЯ ЗАПОЛНЕНИЯ!!!!!'!$A$3:$P$281</definedName>
  </definedNames>
  <calcPr/>
  <pivotCaches>
    <pivotCache cacheId="0" r:id="rId1"/>
  </pivotCaches>
</workbook>
</file>

<file path=xl/sharedStrings.xml><?xml version="1.0" encoding="utf-8"?>
<sst xmlns="http://schemas.openxmlformats.org/spreadsheetml/2006/main" count="942" uniqueCount="942">
  <si>
    <t xml:space="preserve">  Наименование инвестиционного проекта (группы инвестиционных проектов)</t>
  </si>
  <si>
    <t xml:space="preserve">2026 год</t>
  </si>
  <si>
    <t xml:space="preserve">2026 год   </t>
  </si>
  <si>
    <t xml:space="preserve">План </t>
  </si>
  <si>
    <t xml:space="preserve">предложение по корректировке на 2026г.</t>
  </si>
  <si>
    <t xml:space="preserve"> Предложение по корректировке на 2026</t>
  </si>
  <si>
    <t>км</t>
  </si>
  <si>
    <t>сумма</t>
  </si>
  <si>
    <t xml:space="preserve">Техническое перевооружение тепловых сетей города Гусев</t>
  </si>
  <si>
    <t xml:space="preserve">от ТК44 до ТК45 и врезки в ж/д ул.Московская 69, 64</t>
  </si>
  <si>
    <t xml:space="preserve">от врезки в теплотрассу ТК21-ТК20 до врезки в ул.Победы 33</t>
  </si>
  <si>
    <t xml:space="preserve">от ТК2 до ТК29, до вводов в ж/д Советская 17/1, до ТК30, до ул. Советская 9</t>
  </si>
  <si>
    <t xml:space="preserve">от ул Советская 13 до ТК б/н у ж/д ул.Советская 13а и 13б</t>
  </si>
  <si>
    <t xml:space="preserve">вводы ул. Железнодорожная</t>
  </si>
  <si>
    <t xml:space="preserve">вводы ул. Победы</t>
  </si>
  <si>
    <t xml:space="preserve">от ТК15  до ж/д пр. Ленина 23, АК и до ТП пр.Ленина 47</t>
  </si>
  <si>
    <t xml:space="preserve">от врезок в трассу ТК48-СОШ5 по ул. Артиллерийская до ТК44</t>
  </si>
  <si>
    <t xml:space="preserve">перенос с 2030</t>
  </si>
  <si>
    <t xml:space="preserve">год работ</t>
  </si>
  <si>
    <t>участок</t>
  </si>
  <si>
    <t>материалы</t>
  </si>
  <si>
    <t xml:space="preserve">вид материала</t>
  </si>
  <si>
    <t xml:space="preserve">диаметр оболочки</t>
  </si>
  <si>
    <t>примечание</t>
  </si>
  <si>
    <t>ед.изм.</t>
  </si>
  <si>
    <t>колличество</t>
  </si>
  <si>
    <t xml:space="preserve">количество - склад</t>
  </si>
  <si>
    <t xml:space="preserve">цена на 2023г.</t>
  </si>
  <si>
    <t xml:space="preserve">цена на 2023г. Без НДС</t>
  </si>
  <si>
    <t xml:space="preserve">цена на 2024г.</t>
  </si>
  <si>
    <t>Сумма</t>
  </si>
  <si>
    <t xml:space="preserve">Сумма за вычетом склада</t>
  </si>
  <si>
    <t xml:space="preserve">ТК-20 - ТК-18 - ТК-17</t>
  </si>
  <si>
    <t>труба</t>
  </si>
  <si>
    <t xml:space="preserve">ППУ ПЭ</t>
  </si>
  <si>
    <t>м.п.</t>
  </si>
  <si>
    <t>отводы</t>
  </si>
  <si>
    <t xml:space="preserve">Перенесены на заказ ППУ ПЭ 219мм отвод </t>
  </si>
  <si>
    <t xml:space="preserve">ППУ ОЦ</t>
  </si>
  <si>
    <t>шт.</t>
  </si>
  <si>
    <t xml:space="preserve">Перенесены на заказ с ППУ ОЦ 219мм отвод </t>
  </si>
  <si>
    <t xml:space="preserve">219 (45º)</t>
  </si>
  <si>
    <t xml:space="preserve">уменьшено за счёт склада</t>
  </si>
  <si>
    <t>переходы</t>
  </si>
  <si>
    <t>57/40</t>
  </si>
  <si>
    <t>125/125</t>
  </si>
  <si>
    <t>Тройники</t>
  </si>
  <si>
    <t>219/108/219</t>
  </si>
  <si>
    <t>315/180</t>
  </si>
  <si>
    <t>219/89/219</t>
  </si>
  <si>
    <t>315/160</t>
  </si>
  <si>
    <t>219/76/219</t>
  </si>
  <si>
    <t>315/140</t>
  </si>
  <si>
    <t>219/57/219</t>
  </si>
  <si>
    <t>315/125</t>
  </si>
  <si>
    <t>108/57/108</t>
  </si>
  <si>
    <t>180/125</t>
  </si>
  <si>
    <t xml:space="preserve">шар кран</t>
  </si>
  <si>
    <t>КЗС</t>
  </si>
  <si>
    <t>КЗС(Ц)-219/315</t>
  </si>
  <si>
    <t>КЗС(Т)-219/315</t>
  </si>
  <si>
    <t>КЗС(Ц)-108/180</t>
  </si>
  <si>
    <t>КЗС(Т)-108/180</t>
  </si>
  <si>
    <t>КЗС(Ц)-89/160</t>
  </si>
  <si>
    <t>КЗС(Т)-89/160</t>
  </si>
  <si>
    <t>КЗС(Ц)-76/140</t>
  </si>
  <si>
    <t>КЗС(Т)-76/140</t>
  </si>
  <si>
    <t>КЗС(Ц)-57/125</t>
  </si>
  <si>
    <t>КЗС(Т)-57/125</t>
  </si>
  <si>
    <t>КЗС(Ц)-40/125</t>
  </si>
  <si>
    <t xml:space="preserve">расходные материалы</t>
  </si>
  <si>
    <t xml:space="preserve">газ технический</t>
  </si>
  <si>
    <t>бал</t>
  </si>
  <si>
    <t xml:space="preserve">Смесь пропан-бутана</t>
  </si>
  <si>
    <t>бал(50л)</t>
  </si>
  <si>
    <t>Электроды</t>
  </si>
  <si>
    <t>кг.</t>
  </si>
  <si>
    <t xml:space="preserve">проволока сварочная</t>
  </si>
  <si>
    <t>пач.</t>
  </si>
  <si>
    <t xml:space="preserve">круг отрезной 230х2мм</t>
  </si>
  <si>
    <t>Песок</t>
  </si>
  <si>
    <t>тн.</t>
  </si>
  <si>
    <t xml:space="preserve">Мастика резинобитумная  </t>
  </si>
  <si>
    <t>кг</t>
  </si>
  <si>
    <t xml:space="preserve">от ТК44 до ТК45 и врезки ул. Московская 69, 64</t>
  </si>
  <si>
    <t>КЗС(Т)-133/225</t>
  </si>
  <si>
    <t xml:space="preserve">вводы ул. Малахова</t>
  </si>
  <si>
    <t>40</t>
  </si>
  <si>
    <t xml:space="preserve">разницу планируется докупать стальными отводами в процессе монтажа </t>
  </si>
  <si>
    <t>КЗС(Т)-40/125</t>
  </si>
  <si>
    <t xml:space="preserve">вводы ул. Советская</t>
  </si>
  <si>
    <t>57/32</t>
  </si>
  <si>
    <t>125/90</t>
  </si>
  <si>
    <t>57/57/57</t>
  </si>
  <si>
    <t xml:space="preserve">Тройниковое ответвление</t>
  </si>
  <si>
    <t>ПРОПУСК</t>
  </si>
  <si>
    <t xml:space="preserve">на заказ</t>
  </si>
  <si>
    <t>склад</t>
  </si>
  <si>
    <t xml:space="preserve">минус склад</t>
  </si>
  <si>
    <t xml:space="preserve">сумма -склад</t>
  </si>
  <si>
    <t>Итого:</t>
  </si>
  <si>
    <t>Было:</t>
  </si>
  <si>
    <t xml:space="preserve">Сумма по полю Сумма Без НДС</t>
  </si>
  <si>
    <t xml:space="preserve">Названия столбцов</t>
  </si>
  <si>
    <t xml:space="preserve">Названия строк</t>
  </si>
  <si>
    <t>Отводы</t>
  </si>
  <si>
    <t>Переходы</t>
  </si>
  <si>
    <t xml:space="preserve">Расходные материалы</t>
  </si>
  <si>
    <t>(пусто)</t>
  </si>
  <si>
    <t xml:space="preserve">Трубная продукция</t>
  </si>
  <si>
    <t xml:space="preserve">Запорная арматура</t>
  </si>
  <si>
    <t xml:space="preserve">Общий итог</t>
  </si>
  <si>
    <t xml:space="preserve">от ТК 51 до ул. Загородная</t>
  </si>
  <si>
    <t xml:space="preserve">Полное наименование ТМЦ</t>
  </si>
  <si>
    <t>количество</t>
  </si>
  <si>
    <t xml:space="preserve">цена на 2026г. Без НДС ( с учетом индексации)</t>
  </si>
  <si>
    <t xml:space="preserve">Сумма Без НДС</t>
  </si>
  <si>
    <t xml:space="preserve">цена ТМЦ склад</t>
  </si>
  <si>
    <t xml:space="preserve">от ТК44 до ТК45 и врезки в ж/д ул. Московская, 69, 64</t>
  </si>
  <si>
    <t xml:space="preserve">Труба Ст 20 159x5 - 1 - ППУ ПЭ</t>
  </si>
  <si>
    <t xml:space="preserve">трубная продукция</t>
  </si>
  <si>
    <t xml:space="preserve">Труба Ст 20 133x4,5 - 1 - ППУ ПЭ</t>
  </si>
  <si>
    <t xml:space="preserve">Труба Ст 20 108x4 - 1 - ППУ ПЭ</t>
  </si>
  <si>
    <t xml:space="preserve">Отвод Ст 20 159x5 - 90 - 1 - ППУ ПЭ/500</t>
  </si>
  <si>
    <t xml:space="preserve">Отвод Ст 20 159x5 стальной</t>
  </si>
  <si>
    <t xml:space="preserve">Отвод Ст 20 133x4,5 - 90 - 1 - ППУ ПЭ/500</t>
  </si>
  <si>
    <t xml:space="preserve">Отвод Ст 20 108x4,0 - 90 - 1 - ППУ ПЭ/500</t>
  </si>
  <si>
    <t xml:space="preserve">Отвод Ст 20 108x4,0 стальной</t>
  </si>
  <si>
    <t xml:space="preserve">Переход, 159х5,0 - 133x4,5 Ст 20 - 1 - ППУ ПЭ L=1500mm</t>
  </si>
  <si>
    <t>переход</t>
  </si>
  <si>
    <t>159/133</t>
  </si>
  <si>
    <t xml:space="preserve">Переход, 133х4,5 - 108x4 Ст 20 - 1 - ППУ ПЭ L=1500mm</t>
  </si>
  <si>
    <t>133/108</t>
  </si>
  <si>
    <t xml:space="preserve">Кран шаровый под приварку Ø150, РУ25</t>
  </si>
  <si>
    <t xml:space="preserve">Кран шаровый под приварку Ø125, РУ25</t>
  </si>
  <si>
    <t xml:space="preserve">Кран шаровый под приварку Ø100, РУ25</t>
  </si>
  <si>
    <t xml:space="preserve">Кислород газ технический 40х150 атм</t>
  </si>
  <si>
    <t xml:space="preserve">Кислород газ технический</t>
  </si>
  <si>
    <t>балон(40л)</t>
  </si>
  <si>
    <t xml:space="preserve">Смесь пропан-бутан технический</t>
  </si>
  <si>
    <t xml:space="preserve">Пропан-бутан технический</t>
  </si>
  <si>
    <t>балон(50л)</t>
  </si>
  <si>
    <t xml:space="preserve">Электроды Ø3,2мм</t>
  </si>
  <si>
    <t xml:space="preserve">Электроды Ø2,5мм</t>
  </si>
  <si>
    <t xml:space="preserve">Круг отрезной по металлу 125х1,2х22</t>
  </si>
  <si>
    <t xml:space="preserve">круг отрезной 125мм</t>
  </si>
  <si>
    <t xml:space="preserve">Круг отрезной по металлу 230х2,0х22мм</t>
  </si>
  <si>
    <t xml:space="preserve">круг отрезной 230мм</t>
  </si>
  <si>
    <t xml:space="preserve">Круг зачистной обдирочный по металлу 125х6,0х22мм</t>
  </si>
  <si>
    <t xml:space="preserve">круг зачистной 125мм</t>
  </si>
  <si>
    <t xml:space="preserve">Комплект изоляции стыков КЗС(т), 159 — 1 (250) ППУ ПЭ</t>
  </si>
  <si>
    <t xml:space="preserve">КЗС с муфтой</t>
  </si>
  <si>
    <t xml:space="preserve">Комплект изоляции стыков КЗС(т), 133 — 1 (225) ППУ ПЭ</t>
  </si>
  <si>
    <t xml:space="preserve">Комплект изоляции стыков КЗС(т), 108 — 1 (180) ППУ ПЭ</t>
  </si>
  <si>
    <t xml:space="preserve">Разработка плана организации дорожного движения</t>
  </si>
  <si>
    <t xml:space="preserve">восстановление дорожного покрытия</t>
  </si>
  <si>
    <t>м²</t>
  </si>
  <si>
    <t>Доставка</t>
  </si>
  <si>
    <t>доставка</t>
  </si>
  <si>
    <t xml:space="preserve">от врезки в теплотрассу ТК21-ТК20 до врезки в ул. Победы, 33</t>
  </si>
  <si>
    <t xml:space="preserve">Труба Ст 20 159x5 - 1 - ППУ ОЦ</t>
  </si>
  <si>
    <t xml:space="preserve">Труба Ст 20 76x4 - 1 - ППУ ОЦ</t>
  </si>
  <si>
    <t xml:space="preserve">Труба Ст 20 76х4 - 1 - ППУ ПЭ</t>
  </si>
  <si>
    <t xml:space="preserve">Труба Ст 20 57х3,5 - 1 - ППУ ОЦ</t>
  </si>
  <si>
    <t xml:space="preserve">Труба Ст 20 57х3,5 - 1 - ППУ ПЭ</t>
  </si>
  <si>
    <r>
      <t xml:space="preserve">Труба ППР армированная стекловолокном </t>
    </r>
    <r>
      <rPr>
        <sz val="10"/>
        <color theme="1"/>
        <rFont val="Calibri"/>
      </rPr>
      <t>Ø</t>
    </r>
    <r>
      <rPr>
        <sz val="10"/>
        <color theme="1"/>
        <rFont val="Times New Roman"/>
      </rPr>
      <t>32х5,4</t>
    </r>
  </si>
  <si>
    <r>
      <t xml:space="preserve">Труба ППР армированная стекловолокном </t>
    </r>
    <r>
      <rPr>
        <sz val="10"/>
        <color theme="1"/>
        <rFont val="Calibri"/>
      </rPr>
      <t>Ø</t>
    </r>
    <r>
      <rPr>
        <sz val="10"/>
        <color theme="1"/>
        <rFont val="Times New Roman"/>
      </rPr>
      <t>25х4,2</t>
    </r>
  </si>
  <si>
    <t xml:space="preserve">Отвод Ст 20 159x5 - 90 - 1 - ППУ ОЦ/500</t>
  </si>
  <si>
    <t xml:space="preserve">Отвод Ст 20 76x4 - 90 - 1 - ППУ ОЦ/500</t>
  </si>
  <si>
    <t xml:space="preserve">Отвод Ст 20 76x4 - 90 - 1 - ППУ ПЭ/500</t>
  </si>
  <si>
    <t xml:space="preserve">Отвод Ст 20 76x4 - 45 - 1 - ППУ ПЭ/500</t>
  </si>
  <si>
    <t xml:space="preserve">Отвод Ст 20 76x4 стальной</t>
  </si>
  <si>
    <t xml:space="preserve">Отвод Ст 20 57x3,5 - 90 - 1 - ППУ ПЭ/500</t>
  </si>
  <si>
    <t xml:space="preserve">Отвод Ст 20 57x3,5 стальной</t>
  </si>
  <si>
    <t xml:space="preserve">Отвод Ст 20 45x3,5 стальной</t>
  </si>
  <si>
    <t xml:space="preserve">Отвод Ст 20 32x3 стальной</t>
  </si>
  <si>
    <t xml:space="preserve">Колено ППР Ø32х5,4</t>
  </si>
  <si>
    <t xml:space="preserve">Муфта соединительная ППР Ø32х5,4</t>
  </si>
  <si>
    <t xml:space="preserve">Колено ППР Ø25х4,2</t>
  </si>
  <si>
    <r>
      <t xml:space="preserve">Колено ППР Ø25х4,2 45</t>
    </r>
    <r>
      <rPr>
        <sz val="10"/>
        <color theme="1"/>
        <rFont val="Calibri"/>
      </rPr>
      <t>°</t>
    </r>
  </si>
  <si>
    <t xml:space="preserve">Муфта соединительная ППР Ø25х4,2</t>
  </si>
  <si>
    <t xml:space="preserve">Переход, 76х4 - 57x3,5 Ст 20 - 1 - ППУ ПЭ L=1500mm</t>
  </si>
  <si>
    <t>76/57</t>
  </si>
  <si>
    <t xml:space="preserve">резьба стальная Ø25 (1")</t>
  </si>
  <si>
    <t xml:space="preserve">резьба стальная Ø20 (3/4 ")</t>
  </si>
  <si>
    <t xml:space="preserve">Муфта переходная ППР резьба внутренняя 1"/Ø32</t>
  </si>
  <si>
    <t>1"/Ø32</t>
  </si>
  <si>
    <t xml:space="preserve">Муфта переходная ППР резьба внутренняя 3/4"/Ø25</t>
  </si>
  <si>
    <t>3/4"/Ø25</t>
  </si>
  <si>
    <t xml:space="preserve">Тройник, 159х4,5 - 57x3,5 Ст 20 - 1 - ППУ ОЦ L=1000mm/L=500mm</t>
  </si>
  <si>
    <t>тройник</t>
  </si>
  <si>
    <t>159/57</t>
  </si>
  <si>
    <t>159/45</t>
  </si>
  <si>
    <t xml:space="preserve">Тройник, 76х4 - 76x4 Ст 20 - 1 - ППУ ПЭ L=1000mm/L=500mm</t>
  </si>
  <si>
    <t>76/76</t>
  </si>
  <si>
    <t xml:space="preserve">Тройник, 76х4 - 57x3,5 Ст 20 - 1 - ППУ ОЦ L=1000mm/L=500mm</t>
  </si>
  <si>
    <t xml:space="preserve">Тройник, 76х4 - 38x3 Ст 20 - 1 - ППУ ПЭ L=1000mm/L=500mm</t>
  </si>
  <si>
    <t>76/32</t>
  </si>
  <si>
    <t>76/25</t>
  </si>
  <si>
    <t xml:space="preserve">Тройник, 57x3,5 - 32х3 Ст 20 - 1 - ППУ ПЭ L=1000mm/L=500mm</t>
  </si>
  <si>
    <t xml:space="preserve">Тройниковое ответвление, 159х4,5 - 45x3,5 Ст 20 - 1 - ППУ ОЦ L=1000mm/L=500mm</t>
  </si>
  <si>
    <t xml:space="preserve">тройниковое ответвление</t>
  </si>
  <si>
    <t xml:space="preserve">Тройниковое ответвление, 76х4 - 57x3,5 Ст 20 - 1 - ППУ ОЦ L=1000mm/L=500mm</t>
  </si>
  <si>
    <t xml:space="preserve">Тройниковое ответвление, 76х4 -25x3 Ст 20 - 1 - ППУ ПЭ L=1000mm/L=500mm</t>
  </si>
  <si>
    <t xml:space="preserve">Тройниковое ответвление, 57x3,5 - 32х3 Ст 20 - 1 - ППУ ПЭ L=1000mm/L=500mm</t>
  </si>
  <si>
    <t xml:space="preserve">Кран шаровый под приварку Ø65, РУ25</t>
  </si>
  <si>
    <t xml:space="preserve">Кран шаровый под приварку Ø50, РУ25</t>
  </si>
  <si>
    <t xml:space="preserve">Кран шаровый под приварку Ø40, РУ25</t>
  </si>
  <si>
    <t xml:space="preserve">Кран шаровый под приварку Ø32, РУ25</t>
  </si>
  <si>
    <t xml:space="preserve">Кран шаровый под приварку Ø20, РУ25</t>
  </si>
  <si>
    <t xml:space="preserve">Опора скользящая 159/250 для ППУ ОЦ</t>
  </si>
  <si>
    <t xml:space="preserve">скользящая опора</t>
  </si>
  <si>
    <t>159/250</t>
  </si>
  <si>
    <t xml:space="preserve">Комплект изоляции стыков КЗС(ц), 159 — 1 (250) ППУ ОЦ</t>
  </si>
  <si>
    <t xml:space="preserve">Комплект изоляции стыков КЗС(ц), 76 — 1 (140) ППУ ОЦ</t>
  </si>
  <si>
    <t xml:space="preserve">Комплект изоляции стыков КЗС(т), 76 — 1 (140) ППУ ПЭ</t>
  </si>
  <si>
    <t xml:space="preserve">Комплект изоляции стыков КЗС(ц), 57 — 1 (125) ППУ ОЦ</t>
  </si>
  <si>
    <t xml:space="preserve">Комплект изоляции стыков КЗС(т), 57 — 1 (125) ППУ ПЭ</t>
  </si>
  <si>
    <t xml:space="preserve">Комплект изоляции стыков КЗС(т), 45 — 1 (125) ППУ ПЭ</t>
  </si>
  <si>
    <t xml:space="preserve">Вспененный полиэтилен Ø32, 2м.</t>
  </si>
  <si>
    <t xml:space="preserve">Вспененный полиэтилен Ø25, 2м.</t>
  </si>
  <si>
    <t xml:space="preserve">Труба Ст20 219x6,0 - 1 - ППУ ПЭ</t>
  </si>
  <si>
    <t xml:space="preserve">Отвод Ст 20 219x6,0 - 90 - 1 - ППУ ПЭ/500</t>
  </si>
  <si>
    <t xml:space="preserve">Отвод Ст 20 219x6,0 - 45 - 1 - ППУ ПЭ/500</t>
  </si>
  <si>
    <t xml:space="preserve">Отвод Ст 20 219x6,0 стальной</t>
  </si>
  <si>
    <t xml:space="preserve">Тройник, 219х6 - 133x4,5 Ст 20 - 1 - ППУ ПЭ L=1000mm/L=500mm</t>
  </si>
  <si>
    <t>219/133</t>
  </si>
  <si>
    <t xml:space="preserve">Тройник, 219х6 - 57x3,5 Ст 20 - 1 - ППУ ПЭ L=1000mm/L=500mm</t>
  </si>
  <si>
    <t>219/57</t>
  </si>
  <si>
    <t xml:space="preserve">Тройниковое ответвление, 219х6 - 133x4,5 Ст 20 - 1 - ППУ ПЭ L=1000mm/L=500mm</t>
  </si>
  <si>
    <t xml:space="preserve">Кран шаровый под приварку Ø200, РУ25</t>
  </si>
  <si>
    <t xml:space="preserve">Комплект изоляции стыков КЗС(т), 219 — 1 (315) ППУ ПЭ</t>
  </si>
  <si>
    <t xml:space="preserve">Труба Ст 20 89х4 - 1 - ППУ ПЭ</t>
  </si>
  <si>
    <t xml:space="preserve">Отвод Ст 20 89x4 - 90 - 1 - ППУ ОЦ/500</t>
  </si>
  <si>
    <t xml:space="preserve">Отвод Ст 20 89x4 - 90 - 1 - ППУ ПЭ/500</t>
  </si>
  <si>
    <t xml:space="preserve">Переход, 89х4 - 76x4 Ст 20 - 1 - ППУ ПЭ L=1500mm</t>
  </si>
  <si>
    <t>89/76</t>
  </si>
  <si>
    <t xml:space="preserve">Тройник, 89х4 - 76x4 Ст 20 - 1 - ППУ ПЭ L=1000mm/L=500mm</t>
  </si>
  <si>
    <t xml:space="preserve">Кран шаровый под приварку Ø80, РУ25</t>
  </si>
  <si>
    <t xml:space="preserve">Комплект изоляции стыков КЗС(т), 89 — 1 (160) ППУ ПЭ</t>
  </si>
  <si>
    <t xml:space="preserve">№ п/п</t>
  </si>
  <si>
    <t xml:space="preserve">Цена на 2024г. Без НДС</t>
  </si>
  <si>
    <t xml:space="preserve">Требуемое количество</t>
  </si>
  <si>
    <t xml:space="preserve">Количество на складе на 31.12.23</t>
  </si>
  <si>
    <t xml:space="preserve">Номенклатурный номер 1С</t>
  </si>
  <si>
    <t xml:space="preserve">Количество к закупу (за минусом остатков)</t>
  </si>
  <si>
    <t xml:space="preserve">Сумма к закупу (за минусом остатков)</t>
  </si>
  <si>
    <t xml:space="preserve">КЗС(Т) 108/180 (состав комплекта: компонент,термоклей,термолента, замк.пласт., пробки, стойки, гильза обжимная, припой, муфта термоусаживаемая  180x600)</t>
  </si>
  <si>
    <t>БК-00005784</t>
  </si>
  <si>
    <t xml:space="preserve">КЗС(Т) 133/225 (состав комплекта: компонент,термоклей,термолента, замк.пласт., пробки, стойки, гильза обжимная, припой, муфта термоусаживаемая  225x600)</t>
  </si>
  <si>
    <t xml:space="preserve">БК-00005783
БК-00003023</t>
  </si>
  <si>
    <t xml:space="preserve">КЗС(Т) 219/315 (состав комплекта: компонент, термоклей, термолента, замк.пласт., пробки, стойки, гильза обжимная, припой, муфта термоусаживаемая  315x600</t>
  </si>
  <si>
    <t>БК-00003007</t>
  </si>
  <si>
    <t xml:space="preserve">КЗС(Т) 45/125 (состав комплекта: компонент,термоклей,термолента, замк.пласт., пробки, стойки, гильза обжимная, припой, муфта термоусаживаемая  125x600)</t>
  </si>
  <si>
    <t xml:space="preserve">КЗС(Т) 57/125 (состав комплекта: компонент,термоклей,термолента, замк.пласт., пробки, стойки, гильза обжимная, припой, муфта термоусаживаемая  125x600)</t>
  </si>
  <si>
    <t>БК-00000852</t>
  </si>
  <si>
    <t xml:space="preserve">КЗС(Т) 76/140 (состав комплекта: компонент,термоклей,термолента, замк.пласт., пробки, стойки, гильза обжимная, припой, муфта термоусаживаемая  140x600)</t>
  </si>
  <si>
    <t xml:space="preserve">КЗС(Т) 89/160 (состав комплекта: компонент,термоклей,термолента, замк.пласт., пробки, стойки, гильза обжимная, припой, муфта термоусаживаемая  160x600)</t>
  </si>
  <si>
    <t>БК-00000849</t>
  </si>
  <si>
    <t xml:space="preserve">КЗС(Ц) 108/200 (состав комплекта: компонент, термоклей, пробки, стойки, гильза обжимная, припой, заклепки, латка оцинкованная, муфта ОЦ 200x0,55-625)</t>
  </si>
  <si>
    <t>БК-00003022</t>
  </si>
  <si>
    <t xml:space="preserve">КЗС(Ц) 219/315 (состав комплекта: компонент, термоклей, пробки, стойки, гильза обжимная, припой, заклепки, латка оцинкованная, муфта ОЦ 315x0,55-625)</t>
  </si>
  <si>
    <t>БК-00005777</t>
  </si>
  <si>
    <t xml:space="preserve">КЗС(Ц) 45/125 (состав комплекта: компонент, термоклей, пробки, стойки, гильза обжимная, припой, заклепки, латка оцинкованная, муфта ОЦ 125x0,55-600)</t>
  </si>
  <si>
    <t>БК-00003018</t>
  </si>
  <si>
    <t xml:space="preserve">КЗС(Ц) 57/125 (состав комплекта: компонент, термоклей, пробки, стойки, гильза обжимная, припой, заклепки, латка оцинкованная, муфта ОЦ 125x0,55-600)</t>
  </si>
  <si>
    <t xml:space="preserve">КЗС(Ц) 76/140 (состав комплекта: компонент, термоклей, пробки, стойки, гильза обжимная, припой, заклепки, латка оцинкованная, муфта ОЦ  140x0,55-600)</t>
  </si>
  <si>
    <t xml:space="preserve">КЗС(Ц) 89/160 (состав комплекта: компонент, термоклей, пробки, стойки, гильза обжимная, припой, заклепки, латка оцинкованная, муфта ОЦ 160x0,55-625)</t>
  </si>
  <si>
    <t>БК-00003021</t>
  </si>
  <si>
    <t xml:space="preserve">Круг отрезной по металлу 230х2,0х22</t>
  </si>
  <si>
    <t xml:space="preserve">Отвод Ст 108х4,5(6)-90-2-ППУ-ОЦ /200 L=1000/1000 # Труба 108х4,5 ГОСТ 10705 /Ст 20, отвод ГОСТ 17375 /Ст 20</t>
  </si>
  <si>
    <t>БК-00001354</t>
  </si>
  <si>
    <t xml:space="preserve">Отвод Ст 108х4,5(6)-90-2-ППУ-ПЭ /200 L=1000/1000 # Труба 108х4,5 ГОСТ 10705 /Ст 20, отвод ГОСТ 17375 /Ст 20</t>
  </si>
  <si>
    <t xml:space="preserve">Отвод Ст 133х5(6)-90-1-ППУ-ПЭ /225 L=1000/1000 # Труба 133х5 ГОСТ 10705 /Ст 20, отвод ГОСТ 17375 /Ст 20</t>
  </si>
  <si>
    <t xml:space="preserve">Отвод Ст 219х6(8)-45-1-ППУ-ПЭ/315, ГОСТ 17375/СТ 20</t>
  </si>
  <si>
    <t xml:space="preserve">Отвод Ст 219х6(8)-90-1-ППУ-ПЭ /315 L=1000/1000 ГОСТ 10705 /Ст 20, отвод ГОСТ 17375 /Ст 20</t>
  </si>
  <si>
    <t xml:space="preserve">Отвод Ст 45х3(3)-90-1-ППУ-ОЦ/125 #Труба 45х3 ГОСТ 8734/Ст 20</t>
  </si>
  <si>
    <t xml:space="preserve">Отвод Ст 45х3,5(4)-90-2-ППУ-ПЭ /125 L=1000/1000 # Труба 45х4 ГОСТ 10705 /Ст 20, отвод ГОСТ 17375 /Ст 20</t>
  </si>
  <si>
    <t xml:space="preserve">Отвод Ст 57х4(5)-90-2-ППУ-ОЦ /125 L=1000/1000 # Труба 57х4 ГОСТ 10705 /Ст 20, отвод ГОСТ 17375 /Ст 20</t>
  </si>
  <si>
    <t xml:space="preserve">Отвод Ст 57х4(5)-90-2-ППУ-ПЭ /125 L=1000/1000 # Труба 57х4 ГОСТ 10705 /Ст 20, отвод ГОСТ 17375 /Ст 20</t>
  </si>
  <si>
    <t xml:space="preserve">Отвод Ст 76х4(5)-90-2-ППУ-ОЦ /140 L=1000/1000 # Труба 76х4 ГОСТ 10705 /Ст 20, отвод ГОСТ 17375 /Ст 20</t>
  </si>
  <si>
    <t>БК-00001261</t>
  </si>
  <si>
    <t xml:space="preserve">Отвод Ст 76х4(5)-90-2-ППУ-ПЭ /140 L=1000/1000 # Труба 76х4 ГОСТ 10705 /Ст 20, отвод ГОСТ 17375 /Ст 20</t>
  </si>
  <si>
    <t xml:space="preserve">Отвод Ст 89х4,5(6)-90-2-ППУ-ОЦ /200 L=1000/1000 # Труба 89х4,5 ГОСТ 10705 /Ст 20, отвод ГОСТ 17375 /Ст 20</t>
  </si>
  <si>
    <t xml:space="preserve">Отвод Ст 89х4,5(6)-90-2-ППУ-ПЭ /200 L=1000/1000 # Труба 89х4,5 ГОСТ 10705 /Ст 20, отвод ГОСТ 17375 /Ст20</t>
  </si>
  <si>
    <t xml:space="preserve">Переход Ст 57х3,5-45х3,5-1-ППУ-ПЭ /125 /125 L=1500 # Труба 57 ГОСТ 10705 /Ст 20, труба 45 ГОСТ 8732 /Ст 20, переход 57х4-45х4 ГОСТ 17378 /Ст 20</t>
  </si>
  <si>
    <t xml:space="preserve">Переход Ст 57х4-32х4-1-ППУ-ПЭ /125 /110 L=1500 # Труба 57 ГОСТ 10705 /Ст 20, труба 45 ГОСТ 8732 /Ст 20, переход 57х4-32х4 ГОСТ 17378 /Ст 20</t>
  </si>
  <si>
    <t xml:space="preserve">Тройник  Ст 108х5-57х4-1-ППУ-ПЭ  /Ст 20</t>
  </si>
  <si>
    <t xml:space="preserve">Тройник  Ст 219х6-108х5-1-ППУ-ПЭ  /Ст 20</t>
  </si>
  <si>
    <t>БК-00002862</t>
  </si>
  <si>
    <t xml:space="preserve">Тройник  Ст 219х6-57х4-1-ППУ-ПЭ  /Ст 20</t>
  </si>
  <si>
    <t>БК-00002859</t>
  </si>
  <si>
    <t xml:space="preserve">Тройник  Ст 219х6-76х4,5-1-ППУ-ПЭ  /Ст 20</t>
  </si>
  <si>
    <t xml:space="preserve">Тройник  Ст 219х6-89х4,5-1-ППУ-ПЭ  /Ст 20</t>
  </si>
  <si>
    <t xml:space="preserve">Тройник  Ст 57х4-57х4-1-ППУ-ПЭ  /Ст 20</t>
  </si>
  <si>
    <t xml:space="preserve">Тройниковое ответвление Ст 57х4-57х4-1-ППУ-ПЭ  /Ст 20</t>
  </si>
  <si>
    <t xml:space="preserve">Труба Ст 108х4,5-1-ППУ-ПЭ/180 # Труба ГОСТ 10705 /Ст 20</t>
  </si>
  <si>
    <t xml:space="preserve">Труба Ст 133х5-1-ППУ-ПЭ/225 # Труба ГОСТ 10705/Ст 20</t>
  </si>
  <si>
    <t>БК-00005685</t>
  </si>
  <si>
    <t xml:space="preserve">Труба Ст 219х6-1-ППУ-ПЭ/315 # Труба ГОСТ 10705 /Ст 20</t>
  </si>
  <si>
    <t xml:space="preserve">Труба Ст 45х3,5-1-ППУ-ПЭ/125 # Труба ГОСТ 10705 /Ст 20</t>
  </si>
  <si>
    <t xml:space="preserve">Труба Ст 57х3,5-1-ППУ-ОЦ/140 # Труба ГОСТ 10705 /Ст 20</t>
  </si>
  <si>
    <t>БК-00000837</t>
  </si>
  <si>
    <t xml:space="preserve">Труба Ст 57х3-1-ППУ-ПЭ/125 # Труба ГОСТ 10705/Ст20</t>
  </si>
  <si>
    <t>БК-00000839</t>
  </si>
  <si>
    <t xml:space="preserve">Труба Ст 76х4-1-ППУ-ПЭ/140 # Труба ГОСТ 10705 /Ст 20</t>
  </si>
  <si>
    <t xml:space="preserve">Труба Ст 89х4-1-ППУ-ПЭ/160 # Труба ГОСТ 10705 /Ст 20</t>
  </si>
  <si>
    <t xml:space="preserve">шаровый кран ДУ 100</t>
  </si>
  <si>
    <t xml:space="preserve">шаровый кран ДУ 200</t>
  </si>
  <si>
    <t xml:space="preserve">шаровый кран ДУ 40</t>
  </si>
  <si>
    <t xml:space="preserve">шаровый кран ДУ 50</t>
  </si>
  <si>
    <t xml:space="preserve">шаровый кран ДУ 65</t>
  </si>
  <si>
    <t xml:space="preserve">шаровый кран ДУ 80</t>
  </si>
  <si>
    <t xml:space="preserve">Итого без НДС:</t>
  </si>
  <si>
    <t xml:space="preserve">Данные по ТЗ</t>
  </si>
  <si>
    <t>Проверка</t>
  </si>
  <si>
    <t>№</t>
  </si>
  <si>
    <t>Наименование</t>
  </si>
  <si>
    <t>ЕИ</t>
  </si>
  <si>
    <t>Кол-во</t>
  </si>
  <si>
    <t xml:space="preserve">Цена без НДС</t>
  </si>
  <si>
    <t xml:space="preserve">Количество по объемам работ</t>
  </si>
  <si>
    <t xml:space="preserve">Количество к закупу за минусом остатков</t>
  </si>
  <si>
    <t>Разница</t>
  </si>
  <si>
    <t>Примечание</t>
  </si>
  <si>
    <t xml:space="preserve">Комментарии Лосева А.В.</t>
  </si>
  <si>
    <t xml:space="preserve">Мои комментарии</t>
  </si>
  <si>
    <t>м</t>
  </si>
  <si>
    <t xml:space="preserve">берём все 24 м</t>
  </si>
  <si>
    <t xml:space="preserve">Согласовано с главным инженером</t>
  </si>
  <si>
    <t xml:space="preserve">Труба Ст 57х3,5-1-ППУ-ПЭ/125 # Труба ГОСТ 10705 /Ст 20</t>
  </si>
  <si>
    <t>шт</t>
  </si>
  <si>
    <t xml:space="preserve">Отвод Ст 108х4,5(6)-90-1-ППУ-ПЭ /200 L=1000/1000 # Труба 108х4,5 ГОСТ 10705 /Ст 20, отвод ГОСТ 17375 /Ст 20</t>
  </si>
  <si>
    <t xml:space="preserve">Отвод Ст 108х4,5(6)-90-1-ППУ-ОЦ /200 L=1000/1000 # Труба 108х4,5 ГОСТ 10705 /Ст 20, отвод ГОСТ 17375 /Ст 20</t>
  </si>
  <si>
    <t xml:space="preserve">берём вместо 4х - 15шт</t>
  </si>
  <si>
    <t xml:space="preserve">Отвод Ст 89х4,5(6)-90-1-ППУ-ПЭ /200 L=1000/1000 # Труба 89х4,5 ГОСТ 10705 /Ст 20, отвод ГОСТ 17375 /Ст20</t>
  </si>
  <si>
    <t xml:space="preserve">Отвод Ст 89х4,5(6)-90-1-ППУ-ОЦ /200 L=1000/1000 # Труба 89х4,5 ГОСТ 10705 /Ст 20, отвод ГОСТ 17375 /Ст 20</t>
  </si>
  <si>
    <t xml:space="preserve">Отвод Ст 76х4(5)-90-1-ППУ-ПЭ /140 L=1000/1000 # Труба 76х4 ГОСТ 10705 /Ст 20, отвод ГОСТ 17375 /Ст 20</t>
  </si>
  <si>
    <t xml:space="preserve">Отвод Ст 76х4(5)-90-1-ППУ-ОЦ /140 L=1000/1000 # Труба 76х4 ГОСТ 10705 /Ст 20, отвод ГОСТ 17375 /Ст 20</t>
  </si>
  <si>
    <t xml:space="preserve">берём вместо 20 - 18</t>
  </si>
  <si>
    <t xml:space="preserve">Отвод Ст 57х4(5)-90-1-ППУ-ПЭ /125 L=1000/1000 # Труба 57х4 ГОСТ 10705 /Ст 20, отвод ГОСТ 17375 /Ст 20</t>
  </si>
  <si>
    <t xml:space="preserve">берём вместо 40 - 70</t>
  </si>
  <si>
    <t xml:space="preserve">Отвод Ст 57х4(5)-90-1-ППУ-ОЦ /125 L=1000/1000 # Труба 57х4 ГОСТ 10705 /Ст 20, отвод ГОСТ 17375 /Ст 20</t>
  </si>
  <si>
    <t xml:space="preserve">Отвод Ст 45х3,5(4)-90-1-ППУ-ПЭ /125 L=1000/1000 # Труба 45х4 ГОСТ 10705 /Ст 20, отвод ГОСТ 17375 /Ст 20</t>
  </si>
  <si>
    <t xml:space="preserve">Оставляем как есть. На счёте 10.1 у нас 4 тройника мы их переведём на счёт 10.8 и спишем на инвестпрограмму</t>
  </si>
  <si>
    <t xml:space="preserve">                                                                                                                    Итого:   </t>
  </si>
  <si>
    <t>6 937 034,85</t>
  </si>
  <si>
    <t xml:space="preserve">В закупе отсутствуют следующие позиции:</t>
  </si>
  <si>
    <t xml:space="preserve">Не включаем в закупку. На счёте 10.1 у нас 9 отводов мы их переведём на счёт 10.8 и спишем на инвестпрограмму</t>
  </si>
  <si>
    <t xml:space="preserve">Включаем в закупку 2 шт. На счёте 10.1 у нас 2 отводов мы их переведём на счёт 10.8 и спишем на инвестпрограмму</t>
  </si>
  <si>
    <t xml:space="preserve">АО "Калининградская генерирующая компания"                                                          </t>
  </si>
  <si>
    <t xml:space="preserve">Оборотно-сальдовая ведомость по счету 10 за 2023 г.</t>
  </si>
  <si>
    <t xml:space="preserve">Выводимые данные: Количество</t>
  </si>
  <si>
    <t xml:space="preserve">Отбор: Склады Равно "009-Лосев А.В. (Служба тепловых сетей)"</t>
  </si>
  <si>
    <t>Счет</t>
  </si>
  <si>
    <t xml:space="preserve">Сальдо на начало периода</t>
  </si>
  <si>
    <t xml:space="preserve">Обороты за период</t>
  </si>
  <si>
    <t xml:space="preserve">Сальдо на конец периода</t>
  </si>
  <si>
    <t>Подразделение</t>
  </si>
  <si>
    <t>Дебет</t>
  </si>
  <si>
    <t>Кредит</t>
  </si>
  <si>
    <t>Склады</t>
  </si>
  <si>
    <t>Номенклатура</t>
  </si>
  <si>
    <t>Единица</t>
  </si>
  <si>
    <t>Код</t>
  </si>
  <si>
    <t>10</t>
  </si>
  <si>
    <t>10.01</t>
  </si>
  <si>
    <t xml:space="preserve">Служба тепловых сетей</t>
  </si>
  <si>
    <t xml:space="preserve">009-Лосев А.В. (Служба тепловых сетей)</t>
  </si>
  <si>
    <t>10.08</t>
  </si>
  <si>
    <t xml:space="preserve">Блок стен подвала ФБС</t>
  </si>
  <si>
    <t>БК-00000352</t>
  </si>
  <si>
    <t xml:space="preserve">Генератор бензиновый RB 8000 6.0 кВт</t>
  </si>
  <si>
    <t>БК-00003899</t>
  </si>
  <si>
    <t xml:space="preserve">Задвижка 30с41нж Ду150 Ру16</t>
  </si>
  <si>
    <t>БК-00004075</t>
  </si>
  <si>
    <t xml:space="preserve">Инверторный сварочный аппарат САИ 250 "Ресанта"</t>
  </si>
  <si>
    <t>БК-00003901</t>
  </si>
  <si>
    <t xml:space="preserve">КЗС /Ц/ 273/400</t>
  </si>
  <si>
    <t>Г5931150016</t>
  </si>
  <si>
    <t xml:space="preserve">КЗС(Т) 108/180 (термоклей, термолента, стойки, гильза, припой)</t>
  </si>
  <si>
    <t>БК-00003005</t>
  </si>
  <si>
    <t xml:space="preserve">КЗС(Т) 159/250 (термоклей, термолента, стойки, гильза, припой)</t>
  </si>
  <si>
    <t>БК-00002731</t>
  </si>
  <si>
    <t xml:space="preserve">КЗС(Т) 219/315  (термоклей, термолента, стойки, гильза, припой)</t>
  </si>
  <si>
    <t xml:space="preserve">КЗС(Т) 89/160 (термоклей, термолента, стойки, гильза, припой)</t>
  </si>
  <si>
    <t>БК-00003004</t>
  </si>
  <si>
    <t xml:space="preserve">КЗС(Т) с муфтой 108/180 /термокл. пенопакет пробки, стойки /</t>
  </si>
  <si>
    <t>Г5931150014</t>
  </si>
  <si>
    <t xml:space="preserve">КЗС(Т) с муфтой 159/250 /термоклей пенопакет пробки, стойки /</t>
  </si>
  <si>
    <t>БК-00002708</t>
  </si>
  <si>
    <t xml:space="preserve">КЗС(Т) с муфтой 325/450 /термокл. пенопакет пробки, стойки /</t>
  </si>
  <si>
    <t>БК-00004100</t>
  </si>
  <si>
    <t xml:space="preserve">КЗС(Т) с муфтой 57/125 /термоклей пенопакет пробки, стойки /</t>
  </si>
  <si>
    <t xml:space="preserve">КЗС(Т) с муфтой 89/160 /термоклей пенопакет пробки, стойки /</t>
  </si>
  <si>
    <t xml:space="preserve">КЗС(Т) стандарт (108/180): термоусаживаемая муфта D180 L=500 - 90 шт, держатель (опора) СОДК - 360 ш</t>
  </si>
  <si>
    <t xml:space="preserve">КЗС(Т) стандарт (133/225): термоусаживаемая муфта D225 L=500-50 шт, держатель (опора) СОДК-200 шт, п</t>
  </si>
  <si>
    <t>БК-00005783</t>
  </si>
  <si>
    <t xml:space="preserve">КЗС(Т) стандарт (159/250): термоусаживаемая муфта D250 L=500-22шт, держатель (опора) СОДК - 88шт, пр</t>
  </si>
  <si>
    <t>БК-00005782</t>
  </si>
  <si>
    <t xml:space="preserve">КЗС(Т) стандарт (530/710): термоусаживаемая муфта D710 L=700-14шт, держатель (опора) СОДК-84шт, проб</t>
  </si>
  <si>
    <t>БК-00005781</t>
  </si>
  <si>
    <t xml:space="preserve">КЗС(Т) стандарт (57/125): термоусаживаемая муфта D125 L=500 - 44 шт, держатель (опора) СОДК - 16 шт,</t>
  </si>
  <si>
    <t>БК-00005786</t>
  </si>
  <si>
    <t xml:space="preserve">КЗС(Т) стандарт (76/140): термоусаживаемая муфта D140 L=500 - 8 шт, держатель (опора) СОДК - 32 шт, </t>
  </si>
  <si>
    <t>БК-00005785</t>
  </si>
  <si>
    <t xml:space="preserve">КЗС(Ц) 108/200 (термоклей, термолента, стойки, гильза, припой)</t>
  </si>
  <si>
    <t xml:space="preserve">КЗС(Ц) 133/225 (термоклей, термолента, стойки, гильза, припой)</t>
  </si>
  <si>
    <t>БК-00003023</t>
  </si>
  <si>
    <t xml:space="preserve">КЗС(Ц) 45/125 (термоклей, термолента, стойки, гильза, припой)</t>
  </si>
  <si>
    <t xml:space="preserve">КЗС(Ц) 57/140 (термоклей, термолента, стойки, гильза, припой)</t>
  </si>
  <si>
    <t>БК-00003019</t>
  </si>
  <si>
    <t xml:space="preserve">КЗС(Ц) 76/160 (термоклей, термолента, стойки, гильза, припой)</t>
  </si>
  <si>
    <t>БК-00003020</t>
  </si>
  <si>
    <t xml:space="preserve">КЗС(Ц) 89/160 (термоклей, термолента, стойки, гильза, припой)</t>
  </si>
  <si>
    <t xml:space="preserve">КЗС(Ц) с муфтой 108/200 /термокл. пенопакет пробки, стойки /</t>
  </si>
  <si>
    <t>БК-00004237</t>
  </si>
  <si>
    <t xml:space="preserve">КЗС(Ц) с муфтой 133/250 /термокл. пенопакет пробки, стойки /</t>
  </si>
  <si>
    <t>БК-00004154</t>
  </si>
  <si>
    <t xml:space="preserve">КЗС(Ц) с муфтой 159/280 /термоклей пенопакет пробки, стойки /</t>
  </si>
  <si>
    <t>БК-00004155</t>
  </si>
  <si>
    <t xml:space="preserve">КЗС(Ц) с муфтой 57/140 /термоклей пенопакет пробки, стойки /</t>
  </si>
  <si>
    <t>БК-00001276</t>
  </si>
  <si>
    <t xml:space="preserve">КЗС(Ц) с муфтой 76/160 /термоклей пенопакет пробки, стойки /</t>
  </si>
  <si>
    <t>БК-00001277</t>
  </si>
  <si>
    <t xml:space="preserve">КЗС(Ц) с муфтой 89/180 /термоклей пенопакет пробки, стойки /</t>
  </si>
  <si>
    <t>БК-00001430</t>
  </si>
  <si>
    <t xml:space="preserve">КЗС(Ц), (108/200):  кожух оцинкованный 200х500-14шт, держатель (опора) СОДК-28шт, пробка дренажная -</t>
  </si>
  <si>
    <t>БК-00005780</t>
  </si>
  <si>
    <t xml:space="preserve">КЗС(Ц), (133/225):  кожух оцинкованный 225х500-10шт, держатель (опора) СОДК-40шт, пробка дренажная -</t>
  </si>
  <si>
    <t>БК-00005779</t>
  </si>
  <si>
    <t xml:space="preserve">КЗС(Ц), (159/250):кожух оцинкованный 250х500-18шт, держатель (опора) СОД</t>
  </si>
  <si>
    <t>БК-00005778</t>
  </si>
  <si>
    <t xml:space="preserve">КЗС(Ц), (219/315):кожух оцинкованный 315х500- 4шт, держатель (опора) СОДК</t>
  </si>
  <si>
    <t xml:space="preserve">Кирпич полнотелый</t>
  </si>
  <si>
    <t>БК-00002655</t>
  </si>
  <si>
    <t>Г2114110020</t>
  </si>
  <si>
    <t xml:space="preserve">Комплект для заделки стыка 530х710 ПЭ муфтой</t>
  </si>
  <si>
    <t>Г5931150081</t>
  </si>
  <si>
    <t xml:space="preserve">Кран  шаровой LD п/приварку П/П Ду125 Ру25 ст,20</t>
  </si>
  <si>
    <t>БК-00005650</t>
  </si>
  <si>
    <t xml:space="preserve">Кран  шаровой LD п/приварку П/П Ду150 Ру25 ст,20</t>
  </si>
  <si>
    <t>Г3712270021</t>
  </si>
  <si>
    <t xml:space="preserve">Кран  шаровой LD полнопроходной  Ду50 Ру25 ст20</t>
  </si>
  <si>
    <t>БК-00004069</t>
  </si>
  <si>
    <t xml:space="preserve">Кран  шаровой ст, для теплоснабжения Ду 200 Ру25</t>
  </si>
  <si>
    <t>Г3712270028</t>
  </si>
  <si>
    <t xml:space="preserve">Кран шаровой LD СТ20 КШ.Ц.П.П.040/040.040 П/П равнопроходной</t>
  </si>
  <si>
    <t>БК-00000989</t>
  </si>
  <si>
    <t xml:space="preserve">Кран шаровой LD СТ20 КШ.Ц.П.П.100/100.025 П/П равнопроходной</t>
  </si>
  <si>
    <t>БК-00000993</t>
  </si>
  <si>
    <t xml:space="preserve">Круг отрезной по металлу 125х1,6х22</t>
  </si>
  <si>
    <t>БК-00001023</t>
  </si>
  <si>
    <t>БК-00001021</t>
  </si>
  <si>
    <t xml:space="preserve">Круг шлифовальный 125х6х22</t>
  </si>
  <si>
    <t>БК-00000164</t>
  </si>
  <si>
    <t xml:space="preserve">Кувалда К5Ф фибергласссовая рукоятка Вихрь</t>
  </si>
  <si>
    <t>БК-00005960</t>
  </si>
  <si>
    <t xml:space="preserve">Лестница 3-секционная 3х9 ступеней</t>
  </si>
  <si>
    <t>Т9693160005</t>
  </si>
  <si>
    <t xml:space="preserve">Муфта ОЦ  125х0,55-625</t>
  </si>
  <si>
    <t>БК-00003009</t>
  </si>
  <si>
    <t xml:space="preserve">Муфта ОЦ  140х0,55-625</t>
  </si>
  <si>
    <t>БК-00003010</t>
  </si>
  <si>
    <t xml:space="preserve">Муфта ОЦ  160х0,55-625</t>
  </si>
  <si>
    <t>БК-00003011</t>
  </si>
  <si>
    <t xml:space="preserve">Муфта ОЦ  200х0,55-625</t>
  </si>
  <si>
    <t>БК-00003012</t>
  </si>
  <si>
    <t xml:space="preserve">Муфта ОЦ  225х0,55-625</t>
  </si>
  <si>
    <t>БК-00003013</t>
  </si>
  <si>
    <t xml:space="preserve">Муфта ППР 40</t>
  </si>
  <si>
    <t>БК-00000518</t>
  </si>
  <si>
    <t xml:space="preserve">Муфта ППР переходная 50-40</t>
  </si>
  <si>
    <t>БК-00002191</t>
  </si>
  <si>
    <t xml:space="preserve">Муфта термоусаживаемая Д160х500</t>
  </si>
  <si>
    <t>БК-00003003</t>
  </si>
  <si>
    <t xml:space="preserve">Муфта термоусаживаемая Д180х500</t>
  </si>
  <si>
    <t>БК-00003006</t>
  </si>
  <si>
    <t xml:space="preserve">Муфта термоусаживаемая Д250х600</t>
  </si>
  <si>
    <t>БК-00004385</t>
  </si>
  <si>
    <t xml:space="preserve">Муфта термоусаживаемая Д315х500</t>
  </si>
  <si>
    <t>БК-00003008</t>
  </si>
  <si>
    <t xml:space="preserve">Отвод  Дн 133</t>
  </si>
  <si>
    <t>БК-00001235</t>
  </si>
  <si>
    <t xml:space="preserve">Отвод 108х5 ст20</t>
  </si>
  <si>
    <t>БК-00001035</t>
  </si>
  <si>
    <t xml:space="preserve">Отвод 159х6 ст20</t>
  </si>
  <si>
    <t>БК-00001038</t>
  </si>
  <si>
    <t xml:space="preserve">Отвод 219х6</t>
  </si>
  <si>
    <t>БК-00002669</t>
  </si>
  <si>
    <t xml:space="preserve">Отвод 30 Ст.20 (ГОСТ 30753-2001) d530.0, s8.0(10.0), L=1200 (ГОСТ 10704-91/10705-80) с тепловой изол</t>
  </si>
  <si>
    <t>БК-00005762</t>
  </si>
  <si>
    <t xml:space="preserve">Отвод 89х5 ст20</t>
  </si>
  <si>
    <t>БК-00001037</t>
  </si>
  <si>
    <t xml:space="preserve">Отвод 90 Ст.20 (ГОСТ 17375-2001) d108.0, s4.5(6.0), L=1000 (ГОСТ 10704-91/10705-80) с тепловой изоля</t>
  </si>
  <si>
    <t>БК-00005765</t>
  </si>
  <si>
    <t xml:space="preserve">Отвод 90 Ст.20 (ГОСТ 17375-2001) d133,0, s5.0(6.0), L=1000 (ГОСТ 10704-91/10705-80) с тепловой изоля</t>
  </si>
  <si>
    <t>БК-00005764</t>
  </si>
  <si>
    <t xml:space="preserve">Отвод 90 Ст.20 (ГОСТ 17375-2001) d159.0, s6.0(8.0), L=1000 (ГОСТ 10704-91/10705-80) с тепловой изоля</t>
  </si>
  <si>
    <t>БК-00005763</t>
  </si>
  <si>
    <t xml:space="preserve">Отвод 90 Ст.20 (ГОСТ 17375-2001) d76.0, s4.0(5.0), L=1000 (ГОСТ 10704-91/10705-80) с тепловой изоляц</t>
  </si>
  <si>
    <t>БК-00005766</t>
  </si>
  <si>
    <t xml:space="preserve">Отвод 90*108 Ду100</t>
  </si>
  <si>
    <t>БК-00000145</t>
  </si>
  <si>
    <t xml:space="preserve">Отвод к/з на трубу внутр, Д,=-40</t>
  </si>
  <si>
    <t>Г1468100008</t>
  </si>
  <si>
    <t xml:space="preserve">Отвод к/з на трубу наруж, Д= 89х3,5мм</t>
  </si>
  <si>
    <t>БК-00001238</t>
  </si>
  <si>
    <t xml:space="preserve">Отвод к/з на трубу наруж, Д=108х3,5мм</t>
  </si>
  <si>
    <t>Г1468100080</t>
  </si>
  <si>
    <t xml:space="preserve">Отвод к/з на трубу наруж, Д=57х3,5мм</t>
  </si>
  <si>
    <t>Г1468100053</t>
  </si>
  <si>
    <t xml:space="preserve">Отвод к/з на трубу наруж, Д=76х3,5мм</t>
  </si>
  <si>
    <t>БК-00001352</t>
  </si>
  <si>
    <t xml:space="preserve">Отвод Ст 108х4(5)-90-1-ППУ-ОЦ/200#Труба 108х4 ГОСТ 8732/Ст20</t>
  </si>
  <si>
    <t xml:space="preserve">Отвод Ст 133х5(6)-90-1-ППУ-ОЦ/225 #Труба 133х5 ГОСТ 10705/Ст20</t>
  </si>
  <si>
    <t>БК-00002794</t>
  </si>
  <si>
    <t xml:space="preserve">Отвод Ст 159х4,5(5)-45-1-ППУ-ОЦ/250, ГОСТ 17375/Ст20</t>
  </si>
  <si>
    <t>БК-00001281</t>
  </si>
  <si>
    <t xml:space="preserve">Отвод Ст 159х4,5(5)-90-1-ППУ-ПЭ/250, ГОСТ 17375/Ст20</t>
  </si>
  <si>
    <t>БК-00002793</t>
  </si>
  <si>
    <t xml:space="preserve">Отвод Ст 325х7(8)-90-1-ППУ-ПЭ/450, ГОСТ 17375СТ 20</t>
  </si>
  <si>
    <t>БК-00004227</t>
  </si>
  <si>
    <t xml:space="preserve">Отвод Ст 57х3(4)-90-1-ППУ-ОЦ/140 #Труба 57х3 ГОСТ 10705/Ст20</t>
  </si>
  <si>
    <t>БК-00001260</t>
  </si>
  <si>
    <t xml:space="preserve">Отвод Ст 57х3(4)-90-1-ППУ-ПЭ/125,  ГОСТ 17375/Ст20</t>
  </si>
  <si>
    <t>БК-00001262</t>
  </si>
  <si>
    <t xml:space="preserve">Отвод Ст 76х3(4)-90-1-ППУ-ОЦ/160 #Труба 76х3 ГОСТ 10705/Ст20</t>
  </si>
  <si>
    <t xml:space="preserve">Переход 159-133 Дн</t>
  </si>
  <si>
    <t>БК-00003000</t>
  </si>
  <si>
    <t xml:space="preserve">Переход 219х6,0-159х4,5</t>
  </si>
  <si>
    <t>БК-00001953</t>
  </si>
  <si>
    <t xml:space="preserve">Переход 219х8,0-159х6,0</t>
  </si>
  <si>
    <t>БК-00004256</t>
  </si>
  <si>
    <t xml:space="preserve">Переход 89х3,5-57х3...</t>
  </si>
  <si>
    <t>БК-00002682</t>
  </si>
  <si>
    <t xml:space="preserve">Переход 89х6-57х5</t>
  </si>
  <si>
    <t>БК-00003224</t>
  </si>
  <si>
    <t xml:space="preserve">Переход ГОСТ 17378-2001, Ст.20, d133.0, s5.0(8.0), D225 / d108.0, s4.5(6.0), D180 ГОСТ 10704- 91/107</t>
  </si>
  <si>
    <t>БК-00005769</t>
  </si>
  <si>
    <t xml:space="preserve">Переход ГОСТ 17378-2001, Ст.20, d133.0, s5.0(8.0), D225 / d76.0, s4.0(5.0), D140 ГОСТ 10704- 91/1070</t>
  </si>
  <si>
    <t>БК-00005770</t>
  </si>
  <si>
    <t xml:space="preserve">Переход ГОСТ 17378-2001, Ст.20, d219.0, s6.0(8.0), D315 / d133.0, s5.0(6.0), D225 ГОСТ 10704- 91/107</t>
  </si>
  <si>
    <t>БК-00005768</t>
  </si>
  <si>
    <t xml:space="preserve">Переход ГОСТ 17378-2001, Ст.20, d57.0, s3.5(4.0), D125 / d45.0, s3.5(4.0), D125 ГОСТ 10704- 91/10705</t>
  </si>
  <si>
    <t>БК-00005771</t>
  </si>
  <si>
    <t xml:space="preserve">Переход ПК d530.0, s12.0 / d426.0, s10.0, ГОСТ 17378- 2001 (Ст.09Г2С)</t>
  </si>
  <si>
    <t>БК-00005767</t>
  </si>
  <si>
    <t xml:space="preserve">Переход Ст 133х4-108х4-1-ППУ-ОЦ 250/200 L=1500</t>
  </si>
  <si>
    <t>БК-00004230</t>
  </si>
  <si>
    <t xml:space="preserve">Переход Ст 159х4,5-133х4-1-ППУ-ОЦ 280/250 L=1500</t>
  </si>
  <si>
    <t>БК-00004232</t>
  </si>
  <si>
    <t xml:space="preserve">Переход Ст 76х3-45х4-1-ППУ-ОЦ 160/140 L=1500</t>
  </si>
  <si>
    <t>БК-00004233</t>
  </si>
  <si>
    <t xml:space="preserve">Переход ст. ДН 108х89</t>
  </si>
  <si>
    <t>Т1469700003</t>
  </si>
  <si>
    <t>т</t>
  </si>
  <si>
    <t>Г5711400002</t>
  </si>
  <si>
    <t xml:space="preserve">Плита теплотрасс П11-8 </t>
  </si>
  <si>
    <t>БК-00002943</t>
  </si>
  <si>
    <t xml:space="preserve">Проволока отожженная 1.2 мм</t>
  </si>
  <si>
    <t>БК-00000528</t>
  </si>
  <si>
    <t xml:space="preserve">Резьба д=40мм</t>
  </si>
  <si>
    <t>БК-00001844</t>
  </si>
  <si>
    <t xml:space="preserve">Резьба д=50мм</t>
  </si>
  <si>
    <t>БК-00001143</t>
  </si>
  <si>
    <t xml:space="preserve">Рубероид РКП-350 15 м</t>
  </si>
  <si>
    <t>рул</t>
  </si>
  <si>
    <t>Т5774020001</t>
  </si>
  <si>
    <t>Г2723000215</t>
  </si>
  <si>
    <t xml:space="preserve">Соединение разборное ППР</t>
  </si>
  <si>
    <t>БК-00001982</t>
  </si>
  <si>
    <t xml:space="preserve">Строп текстильный СТП-4,0т. 4м.</t>
  </si>
  <si>
    <t>БК-00005941</t>
  </si>
  <si>
    <t xml:space="preserve">Тройник ГОСТ 17376-2001, Ст.20, d133.0, s5.0(5.0), D225 ГОСТ 10704- 91/10705-80 с тепловой изоляцией</t>
  </si>
  <si>
    <t>БК-00005772</t>
  </si>
  <si>
    <t xml:space="preserve">Тройник ГОСТ 3410.764-97, d108.0, s4.5, D180/d57.0, s3.5, D125, ГОСТ10704- 91/10705-80, Ст20 с теп.и</t>
  </si>
  <si>
    <t>БК-00005774</t>
  </si>
  <si>
    <t xml:space="preserve">Тройник ГОСТ 3410.764-97, d133,0, s5.0, D225 / d57.0, s3.5, D125, ГОСТ 1004- 91/10705-80, Ст.20 с те</t>
  </si>
  <si>
    <t>БК-00005773</t>
  </si>
  <si>
    <t xml:space="preserve">Тройник с накладкой Ст 108х4-32х3-1-ППУ-ОЦ/200/125 L=900</t>
  </si>
  <si>
    <t>БК-00004163</t>
  </si>
  <si>
    <t xml:space="preserve">Тройник с накладкой Ст 108х4-45х4-1-ППУ-ОЦ/200/140 L=900</t>
  </si>
  <si>
    <t>БК-00004162</t>
  </si>
  <si>
    <t xml:space="preserve">Тройник с накладкой Ст 108х4-45х4-1-ППУ-ПЭ/180/125 L=1125</t>
  </si>
  <si>
    <t>БК-00004164</t>
  </si>
  <si>
    <t xml:space="preserve">Тройник с накладкой Ст 159х4,5-159х4,5-1-ППУ-ОЦ/280/280</t>
  </si>
  <si>
    <t>БК-00004229</t>
  </si>
  <si>
    <t xml:space="preserve">Тройник с накладкой Ст 219х6-108х4-1-ППУ-ПЭ/315/180</t>
  </si>
  <si>
    <t xml:space="preserve">Тройник с накладкой Ст 219х6-159х4,5-1-ППУ-ПЭ/315/250</t>
  </si>
  <si>
    <t>БК-00002863</t>
  </si>
  <si>
    <t xml:space="preserve">Тройник с накладкой Ст 219х6-57х3-1-ППУ-ОЦ/315/140</t>
  </si>
  <si>
    <t>БК-00002860</t>
  </si>
  <si>
    <t xml:space="preserve">Тройник с накладкой Ст 219х6-57х3-1-ППУ-ПЭ/315/125</t>
  </si>
  <si>
    <t xml:space="preserve">Тройник с накладкой Ст 57х3-32х3-1-ППУ-ПЭ/125/110</t>
  </si>
  <si>
    <t>БК-00004166</t>
  </si>
  <si>
    <t xml:space="preserve">Тройник с накладкой Ст 89х4-45х3-1-ППУ-ОЦ/160/125</t>
  </si>
  <si>
    <t>БК-00002856</t>
  </si>
  <si>
    <t xml:space="preserve">Тройник с накладкой Ст 89х4-45х3-1-ППУ-ПЭ/160/125</t>
  </si>
  <si>
    <t>БК-00002857</t>
  </si>
  <si>
    <t xml:space="preserve">Тройник с накладкой Ст 89х4-57х3-1-ППУ-ОЦ/180/140</t>
  </si>
  <si>
    <t>БК-00004161</t>
  </si>
  <si>
    <t xml:space="preserve">Тройник с накладкой Ст 89х4-76х3-1-ППУ-ПЭ/160/140</t>
  </si>
  <si>
    <t>БК-00002858</t>
  </si>
  <si>
    <t xml:space="preserve">Тройник. ответв. с наклад. Ст 108х4-45х4(4)-1-ППУ-ОЦ/200/140</t>
  </si>
  <si>
    <t>БК-00004173</t>
  </si>
  <si>
    <t xml:space="preserve">Тройник. ответв. с наклад. Ст 108х4-45х4(4)-1-ППУ-ПЭ/180/125</t>
  </si>
  <si>
    <t>БК-00004170</t>
  </si>
  <si>
    <t xml:space="preserve">Тройник. ответв. с наклад. Ст 108х4-57х3(4)-1-ППУ-ОЦ/200/140</t>
  </si>
  <si>
    <t>БК-00001524</t>
  </si>
  <si>
    <t xml:space="preserve">Тройник. ответв. с наклад. Ст 219х6-159х4,5(5)-1-ППУ-ПЭ/315/250</t>
  </si>
  <si>
    <t>БК-00002867</t>
  </si>
  <si>
    <t xml:space="preserve">Тройник. ответв. с наклад. Ст 57х3-32х3(3)-1-ППУ-ПЭ/125/125</t>
  </si>
  <si>
    <t>БК-00004172</t>
  </si>
  <si>
    <t xml:space="preserve">Тройник. ответв. с наклад. Ст 89х4-45х4(4)-1-ППУ-ПЭ/160/125</t>
  </si>
  <si>
    <t>БК-00004168</t>
  </si>
  <si>
    <t xml:space="preserve">Тройник.отв. с наклад. Ст 133х5-45х3(3)-1-ППУ-ПЭ/225/125</t>
  </si>
  <si>
    <t>БК-00002800</t>
  </si>
  <si>
    <t xml:space="preserve">Тройниковое ответвление ГОСТ 3410.764-97, d108.0, s4.5, D180 / d57.0, s3.5, D125, ГОСТ 10704- 91/107</t>
  </si>
  <si>
    <t>БК-00005776</t>
  </si>
  <si>
    <t xml:space="preserve">Тройниковое ответвление ГОСТ 3410.764-97, d133,0, s5.0, D225 / d57.0, s3.5, D125, ГОСТ 10704- 91/107</t>
  </si>
  <si>
    <t>БК-00005775</t>
  </si>
  <si>
    <t xml:space="preserve">Тройниковое ответвление Ст133х5-225 ППУ-ПЭ ГОСТ 10704-91</t>
  </si>
  <si>
    <t>БК-00005658</t>
  </si>
  <si>
    <t xml:space="preserve">Труба ППР PN20 40*5,5мм стекловолокно</t>
  </si>
  <si>
    <t xml:space="preserve">пог. м</t>
  </si>
  <si>
    <t>БК-00002192</t>
  </si>
  <si>
    <t xml:space="preserve">Труба Ст 108х4-1-ППУ-ОЦ/200 # Труба ГОСТ 8732/Ст20</t>
  </si>
  <si>
    <t>БК-00002946</t>
  </si>
  <si>
    <t xml:space="preserve">Труба Ст 108х4,5-1-ППУ-ПЭ/180 # Труба ГОСТ 10704-91/Ст20</t>
  </si>
  <si>
    <t>БК-00005656</t>
  </si>
  <si>
    <t xml:space="preserve">Труба Ст 133х5-1-ППУ-ОЦ/250# Труба ГОСТ 10705/Ст20</t>
  </si>
  <si>
    <t>БК-00004126</t>
  </si>
  <si>
    <t xml:space="preserve">Труба Ст 133х5-1-ППУ-ПЭ/225# Труба ГОСТ 10704-91/Ст20</t>
  </si>
  <si>
    <t>БК-00005655</t>
  </si>
  <si>
    <t xml:space="preserve">Труба Ст 159х4,5-1-ППУ-ОЦ/250 # Труба ГОСТ 10705/Ст20</t>
  </si>
  <si>
    <t>БК-00001247</t>
  </si>
  <si>
    <t xml:space="preserve">Труба Ст 159х4,5-1-ППУ-ОЦ/280 # Труба ГОСТ 10705/Ст20</t>
  </si>
  <si>
    <t>БК-00004152</t>
  </si>
  <si>
    <t xml:space="preserve">Труба Ст 159х6-1-ППУ-ПЭ/250 # Труба ГОСТ 10705/Ст20</t>
  </si>
  <si>
    <t>БК-00005684</t>
  </si>
  <si>
    <t xml:space="preserve">Труба Ст 219х6-1-ППУ-ОЦ/315 # Труба ГОСТ 8732/Ст20</t>
  </si>
  <si>
    <t>БК-00002994</t>
  </si>
  <si>
    <t xml:space="preserve">Труба Ст 325х7-1-ППУ-ОЦ/500 #Труба ГОСТ 10705/Ст20</t>
  </si>
  <si>
    <t>БК-00004104</t>
  </si>
  <si>
    <t xml:space="preserve">Труба Ст 325х7-1-ППУ-ПЭ/450 # Труба ГОСТ 10705/Ст20</t>
  </si>
  <si>
    <t>БК-00004099</t>
  </si>
  <si>
    <t xml:space="preserve">Труба Ст 32х3-1-ППУ-ПЭ/125 # Труба ГОСТ 8734/Ст20</t>
  </si>
  <si>
    <t>БК-00004101</t>
  </si>
  <si>
    <t xml:space="preserve">Труба Ст 45х3-1-ППУ-ПЭ/125 # Труба ГОСТ 8734/Ст20</t>
  </si>
  <si>
    <t>БК-00000838</t>
  </si>
  <si>
    <t xml:space="preserve">Труба Ст 45х4-1-ППУ-ОЦ/140 # Труба ГОСТ 8732/Ст20</t>
  </si>
  <si>
    <t>БК-00004159</t>
  </si>
  <si>
    <t xml:space="preserve">Труба Ст 57х3-1-ППУ-ОЦ/140 # Труба ГОСТ 10705/Ст20</t>
  </si>
  <si>
    <t xml:space="preserve">Труба Ст 76х3-1-ППУ-ОЦ/160 # Труба ГОСТ 10705/Ст20</t>
  </si>
  <si>
    <t>БК-00001245</t>
  </si>
  <si>
    <t xml:space="preserve">Труба Ст 76х4-1-ППУ-ПЭ/140 # Труба ГОСТ 10704-91/Ст20</t>
  </si>
  <si>
    <t>БК-00005657</t>
  </si>
  <si>
    <t xml:space="preserve">Труба Ст. 530х8/710-ППУ-ПЭ/ ГОСТ 107049-91 Ст20</t>
  </si>
  <si>
    <t>БК-00005654</t>
  </si>
  <si>
    <t xml:space="preserve">Угольник ППР 90*40</t>
  </si>
  <si>
    <t>БК-00002193</t>
  </si>
  <si>
    <t xml:space="preserve">Цемент М-500</t>
  </si>
  <si>
    <t>Т5730031003</t>
  </si>
  <si>
    <t xml:space="preserve">Штукатурка цементная</t>
  </si>
  <si>
    <t>БК-00000243</t>
  </si>
  <si>
    <t xml:space="preserve">Электроды LB-52U ф3,2</t>
  </si>
  <si>
    <t>БК-00002613</t>
  </si>
  <si>
    <t xml:space="preserve">Электроды ОК 53,70  ф2,5мм </t>
  </si>
  <si>
    <t>БК-00003835</t>
  </si>
  <si>
    <t>Утверждаю</t>
  </si>
  <si>
    <t xml:space="preserve">Заместитель генерального директора - главный инженер 
АО "Калининградская генерирующая компания"» </t>
  </si>
  <si>
    <t xml:space="preserve">Лемешев А.В.</t>
  </si>
  <si>
    <t>_______________________________</t>
  </si>
  <si>
    <t xml:space="preserve">"___"___________________202__ год.</t>
  </si>
  <si>
    <t xml:space="preserve">Планируемый объем работ по техническому перевооружению тепловых сетей города Гусева на 2025 год.</t>
  </si>
  <si>
    <t xml:space="preserve">Перечень материалов</t>
  </si>
  <si>
    <t>Ед.изм.</t>
  </si>
  <si>
    <t>Количество</t>
  </si>
  <si>
    <t xml:space="preserve">1. Требуется разработка и согласование проекта организации дорожного движения 
2. Требуются работы по восстановлению дорожного покрытия</t>
  </si>
  <si>
    <t xml:space="preserve">Труба ППР армированная стекловолокном Ø32х5,4</t>
  </si>
  <si>
    <t xml:space="preserve">Труба ППР армированная стекловолокном Ø25х4,2</t>
  </si>
  <si>
    <t xml:space="preserve">Колено ППР Ø25х4,2 45°</t>
  </si>
  <si>
    <t xml:space="preserve">Тройник, 159х4,5 - 45x3,5 Ст 20 - 1 - ППУ ОЦ L=1000mm/L=500mm</t>
  </si>
  <si>
    <t xml:space="preserve">Тройник, 76х4 - 32x3 Ст 20 - 1 - ППУ ПЭ L=1000mm/L=500mm</t>
  </si>
  <si>
    <t xml:space="preserve">Тройник, 76х4 - 25x3 Ст 20 - 1 - ППУ ПЭ L=1000mm/L=500mm</t>
  </si>
  <si>
    <t xml:space="preserve">Разработка и согласование проекта организации дорожного движения 
не требуется</t>
  </si>
  <si>
    <t xml:space="preserve">Переход, 89х4 - 76x3,5 Ст 20 - 1 - ППУ ПЭ L=1500mm</t>
  </si>
  <si>
    <t xml:space="preserve">1. Требуются работы по восстановлению дорожного покрытия</t>
  </si>
  <si>
    <t xml:space="preserve">Начальник службы тепловых сетей</t>
  </si>
  <si>
    <t xml:space="preserve">Лосев А.В.</t>
  </si>
  <si>
    <t xml:space="preserve">Начальник отдела ИД и ПР</t>
  </si>
  <si>
    <t xml:space="preserve">Степаненко В.Е.</t>
  </si>
  <si>
    <t xml:space="preserve">Цена на 2026г. Без НДС</t>
  </si>
  <si>
    <t>Группа</t>
  </si>
  <si>
    <t xml:space="preserve">забивать цены без НДС сюда</t>
  </si>
  <si>
    <t xml:space="preserve">забивать цены с НДС сюда</t>
  </si>
  <si>
    <t xml:space="preserve">Цена 2023 года, без НДС, по договорам</t>
  </si>
  <si>
    <t xml:space="preserve">Цена 2024 года, без НДС, по договорам</t>
  </si>
  <si>
    <t xml:space="preserve">Цена 2025 года, КП (прайсы)</t>
  </si>
  <si>
    <t xml:space="preserve">Цена на 2026 год с учетом индексации</t>
  </si>
  <si>
    <t xml:space="preserve">Угольник полипропиленовый 45° 32 SLT Aqua</t>
  </si>
  <si>
    <t xml:space="preserve">Муфта полипропиленовая 32 PRO AQUA</t>
  </si>
  <si>
    <t xml:space="preserve">Угольник полипропиленовый 90° 25 SLT Aqua</t>
  </si>
  <si>
    <t xml:space="preserve">Угольник полипропиленовый 45° 25 PRO AQUA</t>
  </si>
  <si>
    <t xml:space="preserve">Муфта полипропиленовая 20 PRO AQUA</t>
  </si>
  <si>
    <t xml:space="preserve">Муфта комбинированная полипропиленовая ВР 32x1" PRO AQUA серый</t>
  </si>
  <si>
    <t xml:space="preserve">Муфта комбинированная полипропиленовая ВР 25x3/4" PRO AQUA серый</t>
  </si>
  <si>
    <t>Опоры</t>
  </si>
  <si>
    <t xml:space="preserve">в т.ч.</t>
  </si>
  <si>
    <t xml:space="preserve">Восстановление дорожного покрытия</t>
  </si>
  <si>
    <t xml:space="preserve">Плановый свод затрат по ИП на 2026 год по участкам. </t>
  </si>
  <si>
    <t>Месяц</t>
  </si>
  <si>
    <t xml:space="preserve">Наименование участка</t>
  </si>
  <si>
    <t xml:space="preserve">Длина замены по ИП (м)</t>
  </si>
  <si>
    <t xml:space="preserve">Корректировка по длине</t>
  </si>
  <si>
    <t xml:space="preserve">Кол-во штат. ед.</t>
  </si>
  <si>
    <t>чел.час.</t>
  </si>
  <si>
    <t xml:space="preserve">чел.час. на 1 п.м. сетей</t>
  </si>
  <si>
    <t xml:space="preserve">Затраты в рублях</t>
  </si>
  <si>
    <t xml:space="preserve">Всего по участкам, без НДС</t>
  </si>
  <si>
    <t xml:space="preserve">Всего по участкам с НДС</t>
  </si>
  <si>
    <t>ФОТ+ЕСН</t>
  </si>
  <si>
    <t>ГСМ</t>
  </si>
  <si>
    <t xml:space="preserve">разработка и согласование проекта организации дорожного движения</t>
  </si>
  <si>
    <t xml:space="preserve">Аренда спец.транспорта</t>
  </si>
  <si>
    <t xml:space="preserve">Доставка трубной продукции</t>
  </si>
  <si>
    <t xml:space="preserve">ТМЦ со склада</t>
  </si>
  <si>
    <t>Трубы</t>
  </si>
  <si>
    <t>тройники</t>
  </si>
  <si>
    <t xml:space="preserve">опоры скользящие</t>
  </si>
  <si>
    <t xml:space="preserve">опоры неподвижные</t>
  </si>
  <si>
    <t xml:space="preserve">прочие материалы, инструменты, приспособления и др.</t>
  </si>
  <si>
    <t xml:space="preserve">Затраты в случае увеличения стоимости товаров</t>
  </si>
  <si>
    <t xml:space="preserve">Всего материалов</t>
  </si>
  <si>
    <t>привлеченных</t>
  </si>
  <si>
    <t>рубли</t>
  </si>
  <si>
    <t>май</t>
  </si>
  <si>
    <t>июль</t>
  </si>
  <si>
    <t>август</t>
  </si>
  <si>
    <t>июнь</t>
  </si>
  <si>
    <t>сентябрь</t>
  </si>
  <si>
    <t xml:space="preserve">ВСЕГО, без НДС</t>
  </si>
  <si>
    <t xml:space="preserve">ВСЕГО, с НДС</t>
  </si>
  <si>
    <t xml:space="preserve">НДС предусмотрен</t>
  </si>
  <si>
    <t xml:space="preserve">НДС не предусмотрен</t>
  </si>
  <si>
    <t xml:space="preserve">Наим. Спец. Техники</t>
  </si>
  <si>
    <t xml:space="preserve">Стоимость маш/час, руб без НДС</t>
  </si>
  <si>
    <t xml:space="preserve">Планируемые часы работы</t>
  </si>
  <si>
    <t>Экскаватор</t>
  </si>
  <si>
    <t>Затраты</t>
  </si>
  <si>
    <t xml:space="preserve">Без НДС</t>
  </si>
  <si>
    <t xml:space="preserve">с НДС</t>
  </si>
  <si>
    <t xml:space="preserve">трубная  продукция</t>
  </si>
  <si>
    <t>ФОТ</t>
  </si>
  <si>
    <t xml:space="preserve">Материалы на инвестиционную программу 2025 г.</t>
  </si>
  <si>
    <t>материал</t>
  </si>
  <si>
    <t>диаметр</t>
  </si>
  <si>
    <t>вид</t>
  </si>
  <si>
    <t xml:space="preserve">ед. изм.</t>
  </si>
  <si>
    <t xml:space="preserve">Цена (без НДС) + 4,7%</t>
  </si>
  <si>
    <t xml:space="preserve">Цена (без НДС)</t>
  </si>
  <si>
    <t xml:space="preserve">Стоимость (без НДС)</t>
  </si>
  <si>
    <t xml:space="preserve">% от суммы</t>
  </si>
  <si>
    <t xml:space="preserve">Стоимость с доставкой</t>
  </si>
  <si>
    <t xml:space="preserve">от ТК 55 до кинотеатра"Мир" и ДШИ; до Ульяновых 9; от ТК 38 до гостиницы "Королевский двор" и ввода в кафе "Роминте"  Корректируем длину</t>
  </si>
  <si>
    <t>ПЭ</t>
  </si>
  <si>
    <t>отвод</t>
  </si>
  <si>
    <r>
      <t>45</t>
    </r>
    <r>
      <rPr>
        <sz val="11"/>
        <rFont val="Calibri"/>
      </rPr>
      <t>°</t>
    </r>
  </si>
  <si>
    <t>сталь</t>
  </si>
  <si>
    <t>108/57</t>
  </si>
  <si>
    <t xml:space="preserve">шаровый кран</t>
  </si>
  <si>
    <t xml:space="preserve">кислород (40л - бал)</t>
  </si>
  <si>
    <t>балон</t>
  </si>
  <si>
    <t>пропан-бутан</t>
  </si>
  <si>
    <t xml:space="preserve">Круг зачистной</t>
  </si>
  <si>
    <t>125/6</t>
  </si>
  <si>
    <t xml:space="preserve">Вводы ул. Красноармейская</t>
  </si>
  <si>
    <t>ОЦ</t>
  </si>
  <si>
    <t xml:space="preserve">лист оцинкованный 0,55мм</t>
  </si>
  <si>
    <t xml:space="preserve">1250/2500/0,55 мм</t>
  </si>
  <si>
    <t>лист</t>
  </si>
  <si>
    <t xml:space="preserve">минеральная вата 50мм</t>
  </si>
  <si>
    <t xml:space="preserve">50 мм</t>
  </si>
  <si>
    <t>рулон</t>
  </si>
  <si>
    <r>
      <t>м</t>
    </r>
    <r>
      <rPr>
        <sz val="11"/>
        <rFont val="Calibri"/>
      </rPr>
      <t>²</t>
    </r>
  </si>
  <si>
    <t>219/159</t>
  </si>
  <si>
    <t>159/89</t>
  </si>
  <si>
    <t>159/76</t>
  </si>
  <si>
    <t>133/89</t>
  </si>
  <si>
    <t xml:space="preserve">резьба под приварку</t>
  </si>
  <si>
    <t>сталь/ППР</t>
  </si>
  <si>
    <t>89/57</t>
  </si>
  <si>
    <t>133/57</t>
  </si>
  <si>
    <t>108/89</t>
  </si>
  <si>
    <t>задвижки</t>
  </si>
  <si>
    <t>219/315</t>
  </si>
  <si>
    <t xml:space="preserve">ФБС 12.3.6</t>
  </si>
  <si>
    <t>1180/300/580</t>
  </si>
  <si>
    <t>ПУСТО</t>
  </si>
  <si>
    <t xml:space="preserve">Сумма трубной продукции на доставку</t>
  </si>
  <si>
    <t xml:space="preserve">Труба Ст 10 — Ст 20 (ГОСТ 10704-91/10705-80) 325x6,0 - 1 - ППУ ПЭ</t>
  </si>
  <si>
    <t>8 541</t>
  </si>
  <si>
    <t xml:space="preserve">Труба Ст 10 — Ст 20 (ГОСТ 10704-91/10705-80) 219x5,0 - 1 - ППУ ОЦ</t>
  </si>
  <si>
    <t>4 881</t>
  </si>
  <si>
    <t xml:space="preserve">Труба Ст 10 — Ст 20 (ГОСТ 10704-91/10705-80) 219x6,0 - 1 - ППУ ПЭ</t>
  </si>
  <si>
    <t>5 221</t>
  </si>
  <si>
    <t xml:space="preserve">Труба Ст 10 — Ст 20 (ГОСТ 10704-91/10705-80) 159x5,0 - 2 - ППУ ПЭ</t>
  </si>
  <si>
    <t>3 786</t>
  </si>
  <si>
    <t xml:space="preserve">Труба Ст 10 — Ст 20 (ГОСТ 10704-91/10705-80) 133x4,5 - 2 - ППУ ПЭ</t>
  </si>
  <si>
    <t>3 165</t>
  </si>
  <si>
    <t xml:space="preserve">Труба Ст 20 (ГОСТ 8732-78) 108x5,0 - 1 - ППУ ПЭ</t>
  </si>
  <si>
    <t>3 430</t>
  </si>
  <si>
    <t xml:space="preserve">Труба Ст 20 (ГОСТ 8732-78) 89x4,0 - 1 - ППУ ПЭ</t>
  </si>
  <si>
    <t>2 652</t>
  </si>
  <si>
    <t xml:space="preserve">Труба Ст 10 — Ст 20 (ГОСТ 10704-91/10705-80) 76x4,0 - 2 - ППУ ОЦ</t>
  </si>
  <si>
    <t>1 841</t>
  </si>
  <si>
    <t xml:space="preserve">Труба Ст 20 (ГОСТ 8732-78) 76x4,0 - 1 - ППУ ПЭ</t>
  </si>
  <si>
    <t>2 254</t>
  </si>
  <si>
    <t xml:space="preserve">Труба Ст 10 — Ст 20 (ГОСТ 10704-91/10705-80) 57x4,0 - 2 - ППУ ОЦ</t>
  </si>
  <si>
    <t>1 493</t>
  </si>
  <si>
    <t xml:space="preserve">Труба Ст 20 (ГОСТ 8732-78) 57х4,0 - 2 - ППУ ПЭ</t>
  </si>
  <si>
    <t>1 919</t>
  </si>
  <si>
    <t xml:space="preserve">Труба Ст 20 (ГОСТ 8732-78) 45х3,5 - 1 - ППУ ПЭ</t>
  </si>
  <si>
    <t>1 723</t>
  </si>
  <si>
    <t xml:space="preserve">Отвод 90, Ст 10 — Ст 20 (ГОСТ 10704-91/10705-80) 325x6,0 - 1 - ППУ ОЦ</t>
  </si>
  <si>
    <t>50 099</t>
  </si>
  <si>
    <t xml:space="preserve">Отвод 90, Ст 10 — Ст 20 (ГОСТ 10704-91/10705-80) 325x6,0 - 1 - ППУ ПЭ</t>
  </si>
  <si>
    <t>48 933</t>
  </si>
  <si>
    <t xml:space="preserve">Отвод 90, Ст 10 — Ст 20 (ГОСТ 10704-91/10705-80) 219x5,0 - 1 - ППУ ОЦ</t>
  </si>
  <si>
    <t>24 471</t>
  </si>
  <si>
    <t xml:space="preserve">Отвод 90, Ст 10 — Ст 20 (ГОСТ 10704-91/10705-80) 219x5,0 - 1 - ППУ ПЭ</t>
  </si>
  <si>
    <t>24 030</t>
  </si>
  <si>
    <t xml:space="preserve">Отвод 45, Ст 10 — Ст 20 (ГОСТ 10704-91/10705-80) 219x5,0 - 1 - ППУ ПЭ</t>
  </si>
  <si>
    <t>45°</t>
  </si>
  <si>
    <t>26 848</t>
  </si>
  <si>
    <t xml:space="preserve">Отвод 90, Ст 10 — Ст 20 (ГОСТ 10704-91/10705-80) 159x5,0 - 2 - ППУ ПЭ</t>
  </si>
  <si>
    <t>16 471</t>
  </si>
  <si>
    <t xml:space="preserve">Отвод 45, Ст 10 — Ст 20 (ГОСТ 10704-91/10705-80) 159x5,0 - 2 - ППУ ПЭ</t>
  </si>
  <si>
    <t>17 776</t>
  </si>
  <si>
    <t xml:space="preserve">Отвод 90, Ст 10 — Ст 20 (ГОСТ 10704-91/10705-80) 133x4,5 - 2 - ППУ ПЭ</t>
  </si>
  <si>
    <t>13 216</t>
  </si>
  <si>
    <t xml:space="preserve">Отвод 45, Ст 20 (ГОСТ 8732-78) 108x6,0 - 2 - ППУ ОЦ</t>
  </si>
  <si>
    <t>15 389</t>
  </si>
  <si>
    <t xml:space="preserve">Отвод 90, Ст 20 (ГОСТ 8732-78) 108x5,0 - 2 - ППУ ОЦ</t>
  </si>
  <si>
    <t>13 129</t>
  </si>
  <si>
    <t xml:space="preserve">Отвод 45, Ст 20 (ГОСТ 8732-78) 108x5,0 - 1 - ППУ ПЭ</t>
  </si>
  <si>
    <t>13 294</t>
  </si>
  <si>
    <t xml:space="preserve">Отвод 90, Ст 20 (ГОСТ 8732-78) 108x5,0 - 1 - ППУ ПЭ</t>
  </si>
  <si>
    <t>12 536</t>
  </si>
  <si>
    <t xml:space="preserve">Отвод 90, Ст 10 — Ст 20 (ГОСТ 10704-91/10705-80) 89x4,5 - 2 - ППУ ОЦ</t>
  </si>
  <si>
    <t>9 603</t>
  </si>
  <si>
    <t xml:space="preserve">Отвод 90, Ст 20 (ГОСТ 8732-78) 89x4,0 - 1 - ППУ ПЭ</t>
  </si>
  <si>
    <t>9 931</t>
  </si>
  <si>
    <t xml:space="preserve">Отвод 45, Ст 20 (ГОСТ 8732-78) 89x4,0 - 1 - ППУ ПЭ</t>
  </si>
  <si>
    <t>10 376</t>
  </si>
  <si>
    <t xml:space="preserve">Отвод 90, Ст 10 — Ст 20 (ГОСТ 10704-91/10705-80) 76x4,0 - 2 - ППУ ОЦ</t>
  </si>
  <si>
    <t>8 281</t>
  </si>
  <si>
    <t xml:space="preserve">Отвод 90, Ст 20 (ГОСТ 8732-78) 76x4,0 - 1 - ППУ ПЭ</t>
  </si>
  <si>
    <t>8 950</t>
  </si>
  <si>
    <t xml:space="preserve">Отвод 90, Ст 10 — Ст 20 (ГОСТ 10704-91/10705-80) 57x4,0 - 2 - ППУ ОЦ</t>
  </si>
  <si>
    <t>6 713</t>
  </si>
  <si>
    <t xml:space="preserve">Отвод 90, Ст 20 (ГОСТ 8732-78) 57х4,0 - 2 - ППУ ПЭ</t>
  </si>
  <si>
    <t>7 525</t>
  </si>
  <si>
    <t xml:space="preserve">Переход, 219х6,0 - 159x4,5 Ст 10 — Ст 20 (ГОСТ 10704-91/10705-80) - 1 - ППУ ПЭ L=1500mm</t>
  </si>
  <si>
    <t>14 442</t>
  </si>
  <si>
    <t xml:space="preserve">Переход, 159х4,5 - 133x4,5 Ст 10 — Ст 20 (ГОСТ 10704-91/10705-80) - 2 - ППУ ПЭ L=1500mm</t>
  </si>
  <si>
    <t>8 986</t>
  </si>
  <si>
    <t xml:space="preserve">Переход, 159х4,5 - 89x4,0 Ст 10 — Ст 20 (ГОСТ 10704-91/10705-80) - 1 - ППУ ПЭ L=1500mm</t>
  </si>
  <si>
    <t>7 965</t>
  </si>
  <si>
    <t xml:space="preserve">Переход, 133х4,0 - 108x4,0 Ст 10 — Ст 20 (ГОСТ 10704-91/10705-80) - 2 - ППУ ПЭ L=1500mm</t>
  </si>
  <si>
    <t>6 675</t>
  </si>
  <si>
    <t xml:space="preserve">Переход, 108х4,0 - 89x3,5 Ст 20 (ГОСТ 8732-78) - 1 - ППУ ПЭ</t>
  </si>
  <si>
    <t>5 900</t>
  </si>
  <si>
    <t xml:space="preserve">Переход, 108х4,0 - 57x3,5 Ст 20 (ГОСТ 8732-78) - 1 - ППУ ПЭ</t>
  </si>
  <si>
    <t>4 947</t>
  </si>
  <si>
    <t xml:space="preserve">Переход, 89х4,0 - 76x3,5 Ст 20 (ГОСТ 8732-78) - 1 - ППУ ПЭ</t>
  </si>
  <si>
    <t>4 980</t>
  </si>
  <si>
    <t xml:space="preserve">Переход, 89х4,0 - 57x3,5 Ст 20 (ГОСТ 8732-78) - 1 - ППУ ПЭ</t>
  </si>
  <si>
    <t>4 585</t>
  </si>
  <si>
    <t xml:space="preserve">Тройник, 219х6,0 - 57x3,5 Ст 10 — Ст 20 (ГОСТ 10704-91/10705-80) - 1 - ППУ ПЭ L=1400mm/L=700mm</t>
  </si>
  <si>
    <t>28 610</t>
  </si>
  <si>
    <t xml:space="preserve">Тройник, 159х4,5 - 133x4,5 Ст 10 — Ст 20 (ГОСТ 10704-91/10705-80) - 1 - ППУ ПЭ L=1400mm/L=700mm</t>
  </si>
  <si>
    <t>18 977</t>
  </si>
  <si>
    <t xml:space="preserve">Тройник, 159х4,5 - 76x3,5 Ст 10 — Ст 20 (ГОСТ 10704-91/10705-80) - 1 - ППУ ПЭ L=1400mm/L=700mm</t>
  </si>
  <si>
    <t>17 762</t>
  </si>
  <si>
    <t xml:space="preserve">Тройник, 159х4,5 - 57x3,5 Ст 10 — Ст 20 (ГОСТ 10704-91/10705-80) - 1 - ППУ ПЭ L=1400mm/L=700mm</t>
  </si>
  <si>
    <t>16 985</t>
  </si>
  <si>
    <t xml:space="preserve">Тройник, 133х4,0 - 89x4,0 Ст 10 — Ст 20 (ГОСТ 10704-91/10705-80) - 1 - ППУ ПЭ L=1300mm/L=700mm</t>
  </si>
  <si>
    <t>14 823</t>
  </si>
  <si>
    <t xml:space="preserve">Тройник, 133х4,0 - 57x3,5 Ст 10 — Ст 20 (ГОСТ 10704-91/10705-80) - 1 - ППУ ПЭ L=1300mm/L=700mm</t>
  </si>
  <si>
    <t>14 172</t>
  </si>
  <si>
    <t xml:space="preserve">Тройник, 108х4,0 - 89x3,5 Ст 10 — Ст 20 (ГОСТ 10704-91/10705-80) - 1 - ППУ ПЭ L=1300mm/L=700mm</t>
  </si>
  <si>
    <t>13 083</t>
  </si>
  <si>
    <t xml:space="preserve">Тройник, 108х4,0 - 57x3,5 Ст 10 — Ст 20 (ГОСТ 10704-91/10705-80) - 1 - ППУ ПЭ L=1300mm/L=700mm</t>
  </si>
  <si>
    <t>12 597</t>
  </si>
  <si>
    <t xml:space="preserve">Тройник, 89х4,0 - 57x3,5 Ст 10 — Ст 20 (ГОСТ 10704-91/10705-80) - 1 - ППУ ПЭ L=1300mm/L=700mm</t>
  </si>
  <si>
    <t>11 489</t>
  </si>
  <si>
    <t xml:space="preserve">Тройниковое ответвление, 219х6,0 - 57x3,5 Ст 10 — Ст 20 (ГОСТ 10704-91/10705-80) - 1 - ППУ ПЭ L=1400mm/L=980mm</t>
  </si>
  <si>
    <t>35 402</t>
  </si>
  <si>
    <t xml:space="preserve">Тройниковое ответвление, 159х4,5 - 133x4,5 Ст 10 — Ст 20 (ГОСТ 10704-91/10705-80) - 1 - ППУ ПЭ L=1400mm/L=930mm</t>
  </si>
  <si>
    <t>29 753</t>
  </si>
  <si>
    <t xml:space="preserve">Тройниковое ответвление, 159х4,5 - 76x3,5 Ст 10 — Ст 20 (ГОСТ 10704-91/10705-80) - 1 - ППУ ПЭ L=1400mm/L=900mm</t>
  </si>
  <si>
    <t>26 107</t>
  </si>
  <si>
    <t xml:space="preserve">Тройниковое ответвление, 108х4,0 - 57x3,5 Ст 10 — Ст 20 (ГОСТ 10704-91/10705-80) - 1 - ППУ ПЭ L=1300mm/L=810mm</t>
  </si>
  <si>
    <t>19 719</t>
  </si>
  <si>
    <t xml:space="preserve">Тройниковое ответвление, 89х4,0 - 57x3,5 Ст 10 — Ст 20 (ГОСТ 10704-91/10705-80) - 1 - ППУ ПЭ L=1300mm/L=790mm</t>
  </si>
  <si>
    <t>18 281</t>
  </si>
  <si>
    <t xml:space="preserve">Опора скользящая 219/315 - ГОСТ 30732-2020 L=670mm,B=280mm</t>
  </si>
  <si>
    <t>7 258</t>
  </si>
  <si>
    <t xml:space="preserve">Комплект изоляции стыков КЗС(ц), 325 — 1 (450) ППУ ОЦ</t>
  </si>
  <si>
    <t>3 950</t>
  </si>
  <si>
    <t xml:space="preserve">Комплект изоляции стыков КЗС(эл), 325 — 2 (500) ППУ ПЭ</t>
  </si>
  <si>
    <t>6 401</t>
  </si>
  <si>
    <t xml:space="preserve">Комплект изоляции стыков КЗС(ц), 219 — 1 (315) ППУ ОЦ</t>
  </si>
  <si>
    <t>1 871</t>
  </si>
  <si>
    <t>1 892</t>
  </si>
  <si>
    <t xml:space="preserve">Комплект изоляции стыков КЗС(т), 159 — 2 (280) ППУ ПЭ</t>
  </si>
  <si>
    <t>1 677</t>
  </si>
  <si>
    <t xml:space="preserve">Комплект изоляции стыков КЗС(т), 133 — 2 (250) ППУ ПЭ</t>
  </si>
  <si>
    <t>1 486</t>
  </si>
  <si>
    <t xml:space="preserve">Комплект изоляции стыков КЗС(ц), 108 — 1 (200) ППУ ОЦ</t>
  </si>
  <si>
    <t>1 292</t>
  </si>
  <si>
    <t xml:space="preserve">Комплект изоляции стыков КЗС(ц), 89 — 1 (180) ППУ ОЦ</t>
  </si>
  <si>
    <t>1 202</t>
  </si>
  <si>
    <t xml:space="preserve">Комплект изоляции стыков КЗС(ц), 76 — 1 (160) ППУ ОЦ</t>
  </si>
  <si>
    <t>1 026</t>
  </si>
  <si>
    <t xml:space="preserve">Комплект изоляции стыков КЗС(ц), 57 — 1 (140) ППУ ОЦ</t>
  </si>
  <si>
    <t xml:space="preserve">Комплект изоляции стыков КЗС(т), 40 — 1 (125) ППУ ПЭ</t>
  </si>
  <si>
    <t xml:space="preserve">задвижка Ø200, РУ25 с ответными фланцами</t>
  </si>
  <si>
    <t xml:space="preserve">не соответсвует цена по КП</t>
  </si>
  <si>
    <t xml:space="preserve">Лист оцинкованный 1250х2500х0,55 мм</t>
  </si>
  <si>
    <t xml:space="preserve">минеральная вата 50х1000мм (2м²)</t>
  </si>
  <si>
    <t xml:space="preserve">Отвод стальной 57х3,5мм ст.20</t>
  </si>
  <si>
    <t xml:space="preserve">Отвод стальной 45х3,5мм ст.20</t>
  </si>
  <si>
    <t xml:space="preserve">Отвод стальной 219х5мм ст.10-ст.20</t>
  </si>
  <si>
    <t xml:space="preserve">Отвод стальной 133х4,5мм ст.10-ст.20</t>
  </si>
  <si>
    <t xml:space="preserve">Отвод стальной 76х4мм ст.20</t>
  </si>
  <si>
    <t xml:space="preserve">Отвод стальной 50х3,5мм ст.20</t>
  </si>
  <si>
    <t xml:space="preserve">Отвод стальной 89х4мм ст.20</t>
  </si>
  <si>
    <t xml:space="preserve">резьба под приварку сталь/ППР Ø45</t>
  </si>
  <si>
    <t xml:space="preserve">ФБС 12.3.6 1180/300/580мм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</si>
</sst>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[$€-1]_-;\-* #,##0.00[$€-1]_-;_-* &quot;-&quot;??[$€-1]_-"/>
    <numFmt numFmtId="161" formatCode="0_)"/>
    <numFmt numFmtId="162" formatCode="_-* #,##0.00\ _₽_-;\-* #,##0.00\ _₽_-;_-* &quot;-&quot;??\ _₽_-;_-@_-"/>
    <numFmt numFmtId="163" formatCode="_-* #,##0.00_-;\-* #,##0.00_-;_-* &quot;-&quot;??_-;_-@_-"/>
    <numFmt numFmtId="164" formatCode="#,##0.000"/>
    <numFmt numFmtId="165" formatCode="0.0"/>
    <numFmt numFmtId="166" formatCode="0.000"/>
    <numFmt numFmtId="167" formatCode="#,##0.0"/>
  </numFmts>
  <fonts count="64">
    <font>
      <sz val="10.000000"/>
      <color theme="1"/>
      <name val="Arial"/>
    </font>
    <font>
      <sz val="12.000000"/>
      <color indexed="65"/>
      <name val="Times New Roman"/>
    </font>
    <font>
      <sz val="12.000000"/>
      <color indexed="62"/>
      <name val="Times New Roman"/>
    </font>
    <font>
      <b/>
      <sz val="12.000000"/>
      <color indexed="63"/>
      <name val="Times New Roman"/>
    </font>
    <font>
      <b/>
      <sz val="12.000000"/>
      <color indexed="52"/>
      <name val="Times New Roman"/>
    </font>
    <font>
      <u/>
      <sz val="11.000000"/>
      <color theme="10"/>
      <name val="Calibri"/>
      <scheme val="minor"/>
    </font>
    <font>
      <b/>
      <sz val="15.000000"/>
      <color indexed="56"/>
      <name val="Times New Roman"/>
    </font>
    <font>
      <b/>
      <sz val="13.000000"/>
      <color indexed="56"/>
      <name val="Times New Roman"/>
    </font>
    <font>
      <b/>
      <sz val="11.000000"/>
      <color indexed="56"/>
      <name val="Times New Roman"/>
    </font>
    <font>
      <b/>
      <sz val="12.000000"/>
      <name val="Times New Roman"/>
    </font>
    <font>
      <b/>
      <sz val="12.000000"/>
      <color indexed="65"/>
      <name val="Times New Roman"/>
    </font>
    <font>
      <b/>
      <sz val="18.000000"/>
      <color indexed="56"/>
      <name val="Cambria"/>
    </font>
    <font>
      <sz val="12.000000"/>
      <color indexed="60"/>
      <name val="Times New Roman"/>
    </font>
    <font>
      <sz val="11.000000"/>
      <color theme="1"/>
      <name val="Calibri"/>
      <scheme val="minor"/>
    </font>
    <font>
      <sz val="10.000000"/>
      <name val="Arial Cyr"/>
    </font>
    <font>
      <sz val="8.000000"/>
      <name val="Arial"/>
    </font>
    <font>
      <sz val="12.000000"/>
      <name val="Times New Roman"/>
    </font>
    <font>
      <sz val="10.000000"/>
      <color theme="1"/>
      <name val="Arial Cyr"/>
    </font>
    <font>
      <sz val="10.000000"/>
      <name val="Courier"/>
    </font>
    <font>
      <sz val="10.000000"/>
      <name val="Arial"/>
    </font>
    <font>
      <sz val="12.000000"/>
      <color indexed="20"/>
      <name val="Times New Roman"/>
    </font>
    <font>
      <i/>
      <sz val="12.000000"/>
      <color indexed="23"/>
      <name val="Times New Roman"/>
    </font>
    <font>
      <sz val="12.000000"/>
      <color indexed="52"/>
      <name val="Times New Roman"/>
    </font>
    <font>
      <sz val="12.000000"/>
      <color indexed="2"/>
      <name val="Times New Roman"/>
    </font>
    <font>
      <sz val="12.000000"/>
      <color indexed="17"/>
      <name val="Times New Roman"/>
    </font>
    <font>
      <b/>
      <sz val="11.000000"/>
      <color theme="1"/>
      <name val="Calibri"/>
      <scheme val="minor"/>
    </font>
    <font>
      <b/>
      <sz val="11.000000"/>
      <color indexed="2"/>
      <name val="Calibri"/>
      <scheme val="minor"/>
    </font>
    <font>
      <b/>
      <sz val="10.000000"/>
      <color theme="1"/>
      <name val="Calibri"/>
      <scheme val="minor"/>
    </font>
    <font>
      <sz val="11.000000"/>
      <name val="Calibri"/>
      <scheme val="minor"/>
    </font>
    <font>
      <sz val="10.000000"/>
      <color theme="1"/>
      <name val="Times New Roman"/>
    </font>
    <font>
      <sz val="10.000000"/>
      <name val="Times New Roman"/>
    </font>
    <font>
      <sz val="10.000000"/>
      <color indexed="2"/>
      <name val="Times New Roman"/>
    </font>
    <font>
      <sz val="9.000000"/>
      <name val="Times New Roman"/>
    </font>
    <font>
      <b/>
      <sz val="10.000000"/>
      <name val="Times New Roman"/>
    </font>
    <font>
      <sz val="11.000000"/>
      <name val="Times New Roman"/>
    </font>
    <font>
      <sz val="12.000000"/>
      <name val="Calibri"/>
      <scheme val="minor"/>
    </font>
    <font>
      <b/>
      <sz val="12.000000"/>
      <name val="Calibri"/>
      <scheme val="minor"/>
    </font>
    <font>
      <b/>
      <sz val="16.000000"/>
      <color indexed="2"/>
      <name val="Calibri"/>
      <scheme val="minor"/>
    </font>
    <font>
      <b/>
      <sz val="14.000000"/>
      <color indexed="2"/>
      <name val="Calibri"/>
      <scheme val="minor"/>
    </font>
    <font>
      <b/>
      <sz val="10.000000"/>
      <name val="Arial"/>
    </font>
    <font>
      <sz val="10.000000"/>
      <color rgb="FF00B050"/>
      <name val="Arial"/>
    </font>
    <font>
      <sz val="12.000000"/>
      <color indexed="2"/>
      <name val="Calibri"/>
      <scheme val="minor"/>
    </font>
    <font>
      <sz val="10.000000"/>
      <color rgb="FFC00000"/>
      <name val="Arial"/>
    </font>
    <font>
      <b/>
      <sz val="12.000000"/>
      <name val="Arial"/>
    </font>
    <font>
      <sz val="9.000000"/>
      <name val="Arial"/>
    </font>
    <font>
      <sz val="12.000000"/>
      <color theme="1"/>
      <name val="Times New Roman"/>
    </font>
    <font>
      <sz val="10.000000"/>
      <color theme="1"/>
      <name val="Calibri"/>
    </font>
    <font>
      <sz val="14.000000"/>
      <color indexed="2"/>
      <name val="Arial"/>
    </font>
    <font>
      <b/>
      <sz val="10.000000"/>
      <color indexed="2"/>
      <name val="Times New Roman"/>
    </font>
    <font>
      <b/>
      <sz val="11.000000"/>
      <color rgb="FFC00000"/>
      <name val="Calibri"/>
      <scheme val="minor"/>
    </font>
    <font>
      <b/>
      <sz val="14.000000"/>
      <color theme="1"/>
      <name val="Calibri"/>
      <scheme val="minor"/>
    </font>
    <font>
      <b/>
      <sz val="11.000000"/>
      <name val="Calibri"/>
      <scheme val="minor"/>
    </font>
    <font>
      <sz val="8.000000"/>
      <color theme="1"/>
      <name val="Calibri"/>
      <scheme val="minor"/>
    </font>
    <font>
      <b/>
      <sz val="12.000000"/>
      <color theme="1"/>
      <name val="Calibri"/>
      <scheme val="minor"/>
    </font>
    <font>
      <b/>
      <sz val="12.000000"/>
      <color rgb="FFC00000"/>
      <name val="Calibri"/>
      <scheme val="minor"/>
    </font>
    <font>
      <b/>
      <sz val="12.000000"/>
      <color indexed="2"/>
      <name val="Calibri"/>
      <scheme val="minor"/>
    </font>
    <font>
      <sz val="10.000000"/>
      <color theme="1"/>
      <name val="Calibri"/>
      <scheme val="minor"/>
    </font>
    <font>
      <u/>
      <sz val="11.000000"/>
      <color theme="10"/>
      <name val="Times New Roman"/>
    </font>
    <font>
      <sz val="11.000000"/>
      <color theme="1"/>
      <name val="Times New Roman"/>
    </font>
    <font>
      <b/>
      <sz val="11.000000"/>
      <color indexed="63"/>
      <name val="Times New Roman"/>
    </font>
    <font>
      <b/>
      <sz val="12.000000"/>
      <color indexed="63"/>
      <name val="Kontora"/>
    </font>
    <font>
      <b/>
      <sz val="13.000000"/>
      <color indexed="63"/>
      <name val="Kontora"/>
    </font>
    <font>
      <b/>
      <sz val="12.000000"/>
      <color indexed="63"/>
      <name val="Arial"/>
    </font>
    <font>
      <sz val="8.000000"/>
      <name val="Calibri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rgb="FF92D050"/>
        <bgColor rgb="FF92D050"/>
      </patternFill>
    </fill>
    <fill>
      <patternFill patternType="solid">
        <fgColor indexed="5"/>
        <bgColor indexed="5"/>
      </patternFill>
    </fill>
    <fill>
      <patternFill patternType="solid">
        <fgColor rgb="FF00B050"/>
        <bgColor rgb="FF00B050"/>
      </patternFill>
    </fill>
    <fill>
      <patternFill patternType="solid">
        <fgColor rgb="FF00B0F0"/>
        <bgColor rgb="FF00B0F0"/>
      </patternFill>
    </fill>
    <fill>
      <patternFill patternType="solid">
        <fgColor rgb="FFFFC000"/>
        <bgColor rgb="FFFFC000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65"/>
        <bgColor indexed="6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FB7753"/>
        <bgColor rgb="FFFB7753"/>
      </patternFill>
    </fill>
    <fill>
      <patternFill patternType="solid">
        <fgColor indexed="30"/>
        <bgColor indexed="30"/>
      </patternFill>
    </fill>
    <fill>
      <patternFill patternType="solid">
        <fgColor indexed="31"/>
        <bgColor indexed="3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0"/>
        <bgColor theme="0"/>
      </patternFill>
    </fill>
  </fills>
  <borders count="25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</borders>
  <cellStyleXfs count="68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2" fillId="8" borderId="1" numFmtId="0" applyNumberFormat="0" applyFont="1" applyFill="1" applyBorder="1" applyProtection="0"/>
    <xf fontId="3" fillId="9" borderId="2" numFmtId="0" applyNumberFormat="0" applyFont="1" applyFill="1" applyBorder="1" applyProtection="0"/>
    <xf fontId="4" fillId="9" borderId="1" numFmtId="0" applyNumberFormat="0" applyFont="1" applyFill="1" applyBorder="1" applyProtection="0"/>
    <xf fontId="5" fillId="0" borderId="0" numFmtId="0" applyNumberFormat="0" applyFont="1" applyFill="0" applyBorder="0" applyProtection="0"/>
    <xf fontId="6" fillId="0" borderId="3" numFmtId="0" applyNumberFormat="0" applyFont="1" applyFill="0" applyBorder="1" applyProtection="0"/>
    <xf fontId="7" fillId="0" borderId="4" numFmtId="0" applyNumberFormat="0" applyFont="1" applyFill="0" applyBorder="1" applyProtection="0"/>
    <xf fontId="8" fillId="0" borderId="5" numFmtId="0" applyNumberFormat="0" applyFont="1" applyFill="0" applyBorder="1" applyProtection="0"/>
    <xf fontId="8" fillId="0" borderId="0" numFmtId="0" applyNumberFormat="0" applyFont="1" applyFill="0" applyBorder="0" applyProtection="0"/>
    <xf fontId="9" fillId="0" borderId="6" numFmtId="0" applyNumberFormat="0" applyFont="1" applyFill="0" applyBorder="1" applyProtection="0"/>
    <xf fontId="10" fillId="10" borderId="7" numFmtId="0" applyNumberFormat="0" applyFont="1" applyFill="1" applyBorder="1" applyProtection="0"/>
    <xf fontId="11" fillId="0" borderId="0" numFmtId="0" applyNumberFormat="0" applyFont="1" applyFill="0" applyBorder="0" applyProtection="0"/>
    <xf fontId="12" fillId="11" borderId="0" numFmtId="0" applyNumberFormat="0" applyFont="1" applyFill="1" applyBorder="0" applyProtection="0"/>
    <xf fontId="13" fillId="0" borderId="0" numFmtId="0" applyNumberFormat="1" applyFont="1" applyFill="1" applyBorder="1"/>
    <xf fontId="13" fillId="0" borderId="0" numFmtId="0" applyNumberFormat="1" applyFont="1" applyFill="1" applyBorder="1"/>
    <xf fontId="13" fillId="0" borderId="0" numFmtId="0" applyNumberFormat="1" applyFont="1" applyFill="1" applyBorder="1"/>
    <xf fontId="14" fillId="0" borderId="0" numFmtId="0" applyNumberFormat="1" applyFont="1" applyFill="1" applyBorder="1"/>
    <xf fontId="14" fillId="0" borderId="0" numFmtId="0" applyNumberFormat="1" applyFont="1" applyFill="1" applyBorder="1"/>
    <xf fontId="13" fillId="0" borderId="0" numFmtId="0" applyNumberFormat="1" applyFont="1" applyFill="1" applyBorder="1"/>
    <xf fontId="13" fillId="0" borderId="0" numFmtId="0" applyNumberFormat="1" applyFont="1" applyFill="1" applyBorder="1"/>
    <xf fontId="14" fillId="0" borderId="0" numFmtId="0" applyNumberFormat="1" applyFont="1" applyFill="1" applyBorder="1"/>
    <xf fontId="14" fillId="0" borderId="0" numFmtId="0" applyNumberFormat="1" applyFont="1" applyFill="1" applyBorder="1"/>
    <xf fontId="13" fillId="0" borderId="0" numFmtId="0" applyNumberFormat="1" applyFont="1" applyFill="1" applyBorder="1"/>
    <xf fontId="13" fillId="0" borderId="0" numFmtId="160" applyNumberFormat="1" applyFont="1" applyFill="1" applyBorder="1"/>
    <xf fontId="15" fillId="0" borderId="0" numFmtId="0" applyNumberFormat="1" applyFont="1" applyFill="1" applyBorder="1"/>
    <xf fontId="13" fillId="0" borderId="0" numFmtId="0" applyNumberFormat="1" applyFont="1" applyFill="1" applyBorder="1"/>
    <xf fontId="13" fillId="0" borderId="0" numFmtId="0" applyNumberFormat="1" applyFont="1" applyFill="1" applyBorder="1"/>
    <xf fontId="13" fillId="0" borderId="0" numFmtId="0" applyNumberFormat="1" applyFont="1" applyFill="1" applyBorder="1"/>
    <xf fontId="16" fillId="0" borderId="0" numFmtId="0" applyNumberFormat="1" applyFont="1" applyFill="1" applyBorder="1"/>
    <xf fontId="13" fillId="0" borderId="0" numFmtId="0" applyNumberFormat="1" applyFont="1" applyFill="1" applyBorder="1"/>
    <xf fontId="13" fillId="0" borderId="0" numFmtId="0" applyNumberFormat="1" applyFont="1" applyFill="1" applyBorder="1"/>
    <xf fontId="13" fillId="0" borderId="0" numFmtId="0" applyNumberFormat="1" applyFont="1" applyFill="1" applyBorder="1"/>
    <xf fontId="14" fillId="0" borderId="0" numFmtId="0" applyNumberFormat="1" applyFont="1" applyFill="1" applyBorder="1"/>
    <xf fontId="17" fillId="0" borderId="0" numFmtId="0" applyNumberFormat="1" applyFont="1" applyFill="1" applyBorder="1"/>
    <xf fontId="18" fillId="0" borderId="0" numFmtId="161" applyNumberFormat="1" applyFont="1" applyFill="1" applyBorder="1"/>
    <xf fontId="13" fillId="0" borderId="0" numFmtId="0" applyNumberFormat="1" applyFont="1" applyFill="1" applyBorder="1"/>
    <xf fontId="17" fillId="0" borderId="0" numFmtId="0" applyNumberFormat="1" applyFont="1" applyFill="1" applyBorder="1"/>
    <xf fontId="13" fillId="0" borderId="0" numFmtId="0" applyNumberFormat="1" applyFont="1" applyFill="1" applyBorder="1"/>
    <xf fontId="19" fillId="0" borderId="0" numFmtId="0" applyNumberFormat="1" applyFont="1" applyFill="1" applyBorder="1"/>
    <xf fontId="14" fillId="0" borderId="0" numFmtId="0" applyNumberFormat="1" applyFont="1" applyFill="1" applyBorder="1"/>
    <xf fontId="20" fillId="12" borderId="0" numFmtId="0" applyNumberFormat="0" applyFont="1" applyFill="1" applyBorder="0" applyProtection="0"/>
    <xf fontId="21" fillId="0" borderId="0" numFmtId="0" applyNumberFormat="0" applyFont="1" applyFill="0" applyBorder="0" applyProtection="0"/>
    <xf fontId="14" fillId="13" borderId="8" numFmtId="0" applyNumberFormat="0" applyFont="0" applyFill="1" applyBorder="1" applyProtection="0"/>
    <xf fontId="14" fillId="13" borderId="8" numFmtId="160" applyNumberFormat="0" applyFont="0" applyFill="1" applyBorder="1" applyProtection="0"/>
    <xf fontId="14" fillId="13" borderId="8" numFmtId="160" applyNumberFormat="0" applyFont="0" applyFill="1" applyBorder="1" applyProtection="0"/>
    <xf fontId="19" fillId="0" borderId="0" numFmtId="9" applyNumberFormat="1" applyFont="0" applyFill="0" applyBorder="0" applyProtection="0"/>
    <xf fontId="13" fillId="0" borderId="0" numFmtId="9" applyNumberFormat="1" applyFont="0" applyFill="0" applyBorder="0" applyProtection="0"/>
    <xf fontId="13" fillId="0" borderId="0" numFmtId="9" applyNumberFormat="1" applyFont="0" applyFill="0" applyBorder="0" applyProtection="0"/>
    <xf fontId="17" fillId="0" borderId="0" numFmtId="9" applyNumberFormat="1" applyFont="0" applyFill="0" applyBorder="0" applyProtection="0"/>
    <xf fontId="22" fillId="0" borderId="9" numFmtId="0" applyNumberFormat="0" applyFont="1" applyFill="0" applyBorder="1" applyProtection="0"/>
    <xf fontId="23" fillId="0" borderId="0" numFmtId="0" applyNumberFormat="0" applyFont="1" applyFill="0" applyBorder="0" applyProtection="0"/>
    <xf fontId="19" fillId="0" borderId="0" numFmtId="162" applyNumberFormat="1" applyFont="0" applyFill="0" applyBorder="0" applyProtection="0"/>
    <xf fontId="19" fillId="0" borderId="0" numFmtId="163" applyNumberFormat="1" applyFont="0" applyFill="0" applyBorder="0" applyProtection="0"/>
    <xf fontId="19" fillId="0" borderId="0" numFmtId="163" applyNumberFormat="1" applyFont="0" applyFill="0" applyBorder="0" applyProtection="0"/>
    <xf fontId="19" fillId="0" borderId="0" numFmtId="163" applyNumberFormat="1" applyFont="0" applyFill="0" applyBorder="0" applyProtection="0"/>
    <xf fontId="19" fillId="0" borderId="0" numFmtId="163" applyNumberFormat="1" applyFont="0" applyFill="0" applyBorder="0" applyProtection="0"/>
    <xf fontId="13" fillId="0" borderId="0" numFmtId="162" applyNumberFormat="1" applyFont="0" applyFill="0" applyBorder="0" applyProtection="0"/>
    <xf fontId="13" fillId="0" borderId="0" numFmtId="163" applyNumberFormat="1" applyFont="0" applyFill="0" applyBorder="0" applyProtection="0"/>
    <xf fontId="13" fillId="0" borderId="0" numFmtId="163" applyNumberFormat="1" applyFont="0" applyFill="0" applyBorder="0" applyProtection="0"/>
    <xf fontId="13" fillId="0" borderId="0" numFmtId="163" applyNumberFormat="1" applyFont="0" applyFill="0" applyBorder="0" applyProtection="0"/>
    <xf fontId="13" fillId="0" borderId="0" numFmtId="163" applyNumberFormat="1" applyFont="0" applyFill="0" applyBorder="0" applyProtection="0"/>
    <xf fontId="24" fillId="14" borderId="0" numFmtId="0" applyNumberFormat="0" applyFont="1" applyFill="1" applyBorder="0" applyProtection="0"/>
  </cellStyleXfs>
  <cellXfs count="357">
    <xf fontId="0" fillId="0" borderId="0" numFmtId="0" xfId="0"/>
    <xf fontId="13" fillId="0" borderId="0" numFmtId="0" xfId="24" applyFont="1"/>
    <xf fontId="25" fillId="0" borderId="0" numFmtId="0" xfId="24" applyFont="1"/>
    <xf fontId="25" fillId="0" borderId="10" numFmtId="0" xfId="24" applyFont="1" applyBorder="1" applyAlignment="1">
      <alignment horizontal="center" vertical="center" wrapText="1"/>
    </xf>
    <xf fontId="25" fillId="0" borderId="11" numFmtId="0" xfId="24" applyFont="1" applyBorder="1" applyAlignment="1">
      <alignment horizontal="center" vertical="center" wrapText="1"/>
    </xf>
    <xf fontId="26" fillId="0" borderId="11" numFmtId="0" xfId="24" applyFont="1" applyBorder="1" applyAlignment="1">
      <alignment horizontal="center" vertical="center" wrapText="1"/>
    </xf>
    <xf fontId="25" fillId="0" borderId="12" numFmtId="0" xfId="24" applyFont="1" applyBorder="1" applyAlignment="1">
      <alignment horizontal="center" vertical="center" wrapText="1"/>
    </xf>
    <xf fontId="25" fillId="0" borderId="11" numFmtId="0" xfId="24" applyFont="1" applyBorder="1" applyAlignment="1">
      <alignment horizontal="center" vertical="center"/>
    </xf>
    <xf fontId="25" fillId="0" borderId="13" numFmtId="0" xfId="24" applyFont="1" applyBorder="1" applyAlignment="1">
      <alignment horizontal="center" vertical="center" wrapText="1"/>
    </xf>
    <xf fontId="27" fillId="0" borderId="13" numFmtId="0" xfId="24" applyFont="1" applyBorder="1" applyAlignment="1">
      <alignment horizontal="center" vertical="center" wrapText="1"/>
    </xf>
    <xf fontId="25" fillId="0" borderId="11" numFmtId="3" xfId="24" applyNumberFormat="1" applyFont="1" applyBorder="1" applyAlignment="1">
      <alignment horizontal="center" vertical="center"/>
    </xf>
    <xf fontId="25" fillId="0" borderId="11" numFmtId="164" xfId="24" applyNumberFormat="1" applyFont="1" applyBorder="1" applyAlignment="1">
      <alignment horizontal="center" vertical="center"/>
    </xf>
    <xf fontId="26" fillId="0" borderId="11" numFmtId="3" xfId="24" applyNumberFormat="1" applyFont="1" applyBorder="1" applyAlignment="1">
      <alignment horizontal="center" vertical="center"/>
    </xf>
    <xf fontId="26" fillId="0" borderId="11" numFmtId="4" xfId="24" applyNumberFormat="1" applyFont="1" applyBorder="1" applyAlignment="1">
      <alignment horizontal="center" vertical="center" wrapText="1"/>
    </xf>
    <xf fontId="13" fillId="0" borderId="11" numFmtId="0" xfId="24" applyFont="1" applyBorder="1" applyAlignment="1">
      <alignment wrapText="1"/>
    </xf>
    <xf fontId="13" fillId="0" borderId="11" numFmtId="3" xfId="24" applyNumberFormat="1" applyFont="1" applyBorder="1" applyAlignment="1">
      <alignment wrapText="1"/>
    </xf>
    <xf fontId="13" fillId="0" borderId="11" numFmtId="164" xfId="24" applyNumberFormat="1" applyFont="1" applyBorder="1"/>
    <xf fontId="28" fillId="0" borderId="11" numFmtId="4" xfId="24" applyNumberFormat="1" applyFont="1" applyBorder="1" applyAlignment="1">
      <alignment horizontal="right" wrapText="1"/>
    </xf>
    <xf fontId="26" fillId="0" borderId="11" numFmtId="3" xfId="24" applyNumberFormat="1" applyFont="1" applyBorder="1" applyAlignment="1">
      <alignment wrapText="1"/>
    </xf>
    <xf fontId="26" fillId="0" borderId="11" numFmtId="4" xfId="24" applyNumberFormat="1" applyFont="1" applyBorder="1" applyAlignment="1">
      <alignment horizontal="right" wrapText="1"/>
    </xf>
    <xf fontId="29" fillId="15" borderId="11" numFmtId="0" xfId="24" applyFont="1" applyFill="1" applyBorder="1" applyAlignment="1">
      <alignment wrapText="1"/>
    </xf>
    <xf fontId="13" fillId="0" borderId="11" numFmtId="0" xfId="24" applyFont="1" applyBorder="1"/>
    <xf fontId="13" fillId="0" borderId="11" numFmtId="2" xfId="24" applyNumberFormat="1" applyFont="1" applyBorder="1"/>
    <xf fontId="30" fillId="0" borderId="0" numFmtId="0" xfId="0" applyFont="1" applyAlignment="1">
      <alignment horizontal="center"/>
    </xf>
    <xf fontId="30" fillId="0" borderId="0" numFmtId="0" xfId="0" applyFont="1" applyAlignment="1">
      <alignment horizontal="left" vertical="top" wrapText="1"/>
    </xf>
    <xf fontId="30" fillId="0" borderId="0" numFmtId="0" xfId="0" applyFont="1" applyAlignment="1">
      <alignment horizontal="center" wrapText="1"/>
    </xf>
    <xf fontId="30" fillId="0" borderId="12" numFmtId="0" xfId="0" applyFont="1" applyBorder="1" applyAlignment="1">
      <alignment horizontal="center"/>
    </xf>
    <xf fontId="30" fillId="0" borderId="10" numFmtId="0" xfId="0" applyFont="1" applyBorder="1" applyAlignment="1">
      <alignment horizontal="center"/>
    </xf>
    <xf fontId="30" fillId="0" borderId="11" numFmtId="0" xfId="0" applyFont="1" applyBorder="1" applyAlignment="1">
      <alignment horizontal="center"/>
    </xf>
    <xf fontId="30" fillId="0" borderId="11" numFmtId="0" xfId="0" applyFont="1" applyBorder="1" applyAlignment="1">
      <alignment horizontal="left" vertical="top" wrapText="1"/>
    </xf>
    <xf fontId="30" fillId="0" borderId="11" numFmtId="0" xfId="0" applyFont="1" applyBorder="1" applyAlignment="1">
      <alignment horizontal="center" vertical="center"/>
    </xf>
    <xf fontId="30" fillId="0" borderId="11" numFmtId="0" xfId="0" applyFont="1" applyBorder="1" applyAlignment="1">
      <alignment horizontal="center" wrapText="1"/>
    </xf>
    <xf fontId="30" fillId="0" borderId="11" numFmtId="2" xfId="0" applyNumberFormat="1" applyFont="1" applyBorder="1" applyAlignment="1">
      <alignment horizontal="center" wrapText="1"/>
    </xf>
    <xf fontId="30" fillId="16" borderId="11" numFmtId="0" xfId="0" applyFont="1" applyFill="1" applyBorder="1" applyAlignment="1">
      <alignment horizontal="center"/>
    </xf>
    <xf fontId="30" fillId="0" borderId="11" numFmtId="4" xfId="44" applyNumberFormat="1" applyFont="1" applyBorder="1" applyAlignment="1">
      <alignment horizontal="center" wrapText="1"/>
    </xf>
    <xf fontId="30" fillId="17" borderId="11" numFmtId="0" xfId="0" applyFont="1" applyFill="1" applyBorder="1" applyAlignment="1">
      <alignment horizontal="center"/>
    </xf>
    <xf fontId="30" fillId="17" borderId="11" numFmtId="2" xfId="0" applyNumberFormat="1" applyFont="1" applyFill="1" applyBorder="1" applyAlignment="1">
      <alignment horizontal="center"/>
    </xf>
    <xf fontId="30" fillId="0" borderId="11" numFmtId="2" xfId="0" applyNumberFormat="1" applyFont="1" applyBorder="1" applyAlignment="1">
      <alignment horizontal="center"/>
    </xf>
    <xf fontId="30" fillId="0" borderId="0" numFmtId="2" xfId="0" applyNumberFormat="1" applyFont="1" applyAlignment="1">
      <alignment horizontal="center"/>
    </xf>
    <xf fontId="30" fillId="0" borderId="11" numFmtId="4" xfId="44" applyNumberFormat="1" applyFont="1" applyBorder="1" applyAlignment="1">
      <alignment horizontal="center" vertical="top" wrapText="1"/>
    </xf>
    <xf fontId="30" fillId="0" borderId="11" numFmtId="0" xfId="0" applyFont="1" applyBorder="1" applyAlignment="1">
      <alignment horizontal="center" vertical="center" wrapText="1"/>
    </xf>
    <xf fontId="30" fillId="0" borderId="11" numFmtId="0" xfId="0" applyFont="1" applyBorder="1" applyAlignment="1" applyProtection="1">
      <alignment horizontal="center" wrapText="1"/>
    </xf>
    <xf fontId="30" fillId="0" borderId="11" numFmtId="49" xfId="45" applyNumberFormat="1" applyFont="1" applyBorder="1" applyAlignment="1" applyProtection="1">
      <alignment horizontal="center" vertical="center"/>
    </xf>
    <xf fontId="30" fillId="18" borderId="11" numFmtId="0" xfId="0" applyFont="1" applyFill="1" applyBorder="1" applyAlignment="1">
      <alignment horizontal="center"/>
    </xf>
    <xf fontId="30" fillId="18" borderId="11" numFmtId="0" xfId="0" applyFont="1" applyFill="1" applyBorder="1" applyAlignment="1">
      <alignment horizontal="left" vertical="top" wrapText="1"/>
    </xf>
    <xf fontId="30" fillId="18" borderId="11" numFmtId="0" xfId="0" applyFont="1" applyFill="1" applyBorder="1" applyAlignment="1">
      <alignment horizontal="center" vertical="center"/>
    </xf>
    <xf fontId="30" fillId="18" borderId="11" numFmtId="0" xfId="0" applyFont="1" applyFill="1" applyBorder="1" applyAlignment="1">
      <alignment horizontal="center" wrapText="1"/>
    </xf>
    <xf fontId="30" fillId="18" borderId="11" numFmtId="4" xfId="44" applyNumberFormat="1" applyFont="1" applyFill="1" applyBorder="1" applyAlignment="1">
      <alignment horizontal="center" wrapText="1"/>
    </xf>
    <xf fontId="30" fillId="18" borderId="11" numFmtId="2" xfId="0" applyNumberFormat="1" applyFont="1" applyFill="1" applyBorder="1" applyAlignment="1">
      <alignment horizontal="center"/>
    </xf>
    <xf fontId="30" fillId="18" borderId="11" numFmtId="4" xfId="44" applyNumberFormat="1" applyFont="1" applyFill="1" applyBorder="1" applyAlignment="1">
      <alignment horizontal="center" vertical="top" wrapText="1"/>
    </xf>
    <xf fontId="30" fillId="18" borderId="11" numFmtId="0" xfId="0" applyFont="1" applyFill="1" applyBorder="1" applyAlignment="1">
      <alignment horizontal="center" vertical="center" wrapText="1"/>
    </xf>
    <xf fontId="30" fillId="18" borderId="11" numFmtId="0" xfId="0" applyFont="1" applyFill="1" applyBorder="1" applyAlignment="1" applyProtection="1">
      <alignment horizontal="center" wrapText="1"/>
    </xf>
    <xf fontId="30" fillId="18" borderId="11" numFmtId="49" xfId="45" applyNumberFormat="1" applyFont="1" applyFill="1" applyBorder="1" applyAlignment="1" applyProtection="1">
      <alignment horizontal="center" vertical="center"/>
    </xf>
    <xf fontId="30" fillId="19" borderId="11" numFmtId="0" xfId="0" applyFont="1" applyFill="1" applyBorder="1" applyAlignment="1">
      <alignment horizontal="center"/>
    </xf>
    <xf fontId="30" fillId="19" borderId="11" numFmtId="0" xfId="0" applyFont="1" applyFill="1" applyBorder="1" applyAlignment="1">
      <alignment horizontal="left" vertical="top" wrapText="1"/>
    </xf>
    <xf fontId="30" fillId="19" borderId="11" numFmtId="0" xfId="0" applyFont="1" applyFill="1" applyBorder="1" applyAlignment="1">
      <alignment horizontal="center" vertical="center"/>
    </xf>
    <xf fontId="30" fillId="19" borderId="11" numFmtId="0" xfId="0" applyFont="1" applyFill="1" applyBorder="1" applyAlignment="1">
      <alignment horizontal="center" wrapText="1"/>
    </xf>
    <xf fontId="30" fillId="19" borderId="11" numFmtId="4" xfId="44" applyNumberFormat="1" applyFont="1" applyFill="1" applyBorder="1" applyAlignment="1">
      <alignment horizontal="center" wrapText="1"/>
    </xf>
    <xf fontId="30" fillId="19" borderId="11" numFmtId="2" xfId="0" applyNumberFormat="1" applyFont="1" applyFill="1" applyBorder="1" applyAlignment="1">
      <alignment horizontal="center"/>
    </xf>
    <xf fontId="30" fillId="19" borderId="11" numFmtId="0" xfId="0" applyFont="1" applyFill="1" applyBorder="1" applyAlignment="1">
      <alignment horizontal="center" vertical="center" wrapText="1"/>
    </xf>
    <xf fontId="30" fillId="19" borderId="11" numFmtId="0" xfId="0" applyFont="1" applyFill="1" applyBorder="1" applyAlignment="1" applyProtection="1">
      <alignment horizontal="center" wrapText="1"/>
    </xf>
    <xf fontId="30" fillId="19" borderId="11" numFmtId="49" xfId="45" applyNumberFormat="1" applyFont="1" applyFill="1" applyBorder="1" applyAlignment="1" applyProtection="1">
      <alignment horizontal="center" vertical="center"/>
    </xf>
    <xf fontId="30" fillId="0" borderId="14" numFmtId="0" xfId="0" applyFont="1" applyBorder="1" applyAlignment="1">
      <alignment horizontal="center" vertical="center" wrapText="1"/>
    </xf>
    <xf fontId="30" fillId="0" borderId="14" numFmtId="0" xfId="0" applyFont="1" applyBorder="1" applyAlignment="1">
      <alignment horizontal="center"/>
    </xf>
    <xf fontId="30" fillId="0" borderId="15" numFmtId="0" xfId="0" applyFont="1" applyBorder="1" applyAlignment="1">
      <alignment horizontal="center" wrapText="1"/>
    </xf>
    <xf fontId="30" fillId="16" borderId="11" numFmtId="2" xfId="0" applyNumberFormat="1" applyFont="1" applyFill="1" applyBorder="1" applyAlignment="1">
      <alignment horizontal="center"/>
    </xf>
    <xf fontId="30" fillId="16" borderId="0" numFmtId="0" xfId="0" applyFont="1" applyFill="1" applyAlignment="1">
      <alignment horizontal="center"/>
    </xf>
    <xf fontId="31" fillId="16" borderId="0" numFmtId="0" xfId="0" applyFont="1" applyFill="1" applyAlignment="1">
      <alignment horizontal="center"/>
    </xf>
    <xf fontId="30" fillId="3" borderId="0" numFmtId="0" xfId="0" applyFont="1" applyFill="1" applyAlignment="1">
      <alignment horizontal="center"/>
    </xf>
    <xf fontId="30" fillId="3" borderId="0" numFmtId="2" xfId="0" applyNumberFormat="1" applyFont="1" applyFill="1" applyAlignment="1">
      <alignment horizontal="center"/>
    </xf>
    <xf fontId="30" fillId="0" borderId="16" numFmtId="0" xfId="0" applyFont="1" applyBorder="1" applyAlignment="1">
      <alignment horizontal="right"/>
    </xf>
    <xf fontId="30" fillId="0" borderId="17" numFmtId="0" xfId="0" applyFont="1" applyBorder="1" applyAlignment="1">
      <alignment horizontal="right"/>
    </xf>
    <xf fontId="30" fillId="0" borderId="12" numFmtId="0" xfId="0" applyFont="1" applyBorder="1" applyAlignment="1">
      <alignment horizontal="right"/>
    </xf>
    <xf fontId="31" fillId="0" borderId="0" numFmtId="0" xfId="0" applyFont="1" applyAlignment="1">
      <alignment horizontal="center"/>
    </xf>
    <xf fontId="0" fillId="0" borderId="0" numFmtId="0" xfId="0" applyAlignment="1">
      <alignment wrapText="1"/>
    </xf>
    <xf fontId="0" fillId="0" borderId="11" numFmtId="0" xfId="0" applyBorder="1" pivotButton="1"/>
    <xf fontId="0" fillId="0" borderId="0" numFmtId="0" xfId="0" pivotButton="1"/>
    <xf fontId="0" fillId="0" borderId="11" numFmtId="0" xfId="0" applyBorder="1"/>
    <xf fontId="0" fillId="0" borderId="11" numFmtId="0" xfId="0" applyBorder="1" applyAlignment="1" pivotButton="1">
      <alignment wrapText="1"/>
    </xf>
    <xf fontId="0" fillId="0" borderId="0" numFmtId="0" xfId="0" applyAlignment="1">
      <alignment horizontal="left"/>
    </xf>
    <xf fontId="0" fillId="0" borderId="0" numFmtId="1" xfId="0" applyNumberFormat="1" applyAlignment="1">
      <alignment wrapText="1"/>
    </xf>
    <xf fontId="0" fillId="0" borderId="0" numFmtId="0" xfId="0" applyAlignment="1">
      <alignment horizontal="left" wrapText="1"/>
    </xf>
    <xf fontId="32" fillId="0" borderId="0" numFmtId="0" xfId="0" applyFont="1" applyAlignment="1">
      <alignment horizontal="left" vertical="top" wrapText="1"/>
    </xf>
    <xf fontId="30" fillId="0" borderId="0" numFmtId="0" xfId="0" applyFont="1" applyAlignment="1">
      <alignment horizontal="center" vertical="center" wrapText="1"/>
    </xf>
    <xf fontId="30" fillId="0" borderId="0" numFmtId="4" xfId="0" applyNumberFormat="1" applyFont="1" applyAlignment="1">
      <alignment horizontal="center" vertical="center" wrapText="1"/>
    </xf>
    <xf fontId="33" fillId="20" borderId="18" numFmtId="0" xfId="0" applyFont="1" applyFill="1" applyBorder="1" applyAlignment="1">
      <alignment horizontal="center" vertical="center" wrapText="1"/>
    </xf>
    <xf fontId="33" fillId="20" borderId="18" numFmtId="4" xfId="0" applyNumberFormat="1" applyFont="1" applyFill="1" applyBorder="1" applyAlignment="1">
      <alignment horizontal="center" vertical="center" wrapText="1"/>
    </xf>
    <xf fontId="33" fillId="0" borderId="18" numFmtId="0" xfId="0" applyFont="1" applyBorder="1" applyAlignment="1">
      <alignment horizontal="center" vertical="center" wrapText="1"/>
    </xf>
    <xf fontId="30" fillId="0" borderId="14" numFmtId="0" xfId="0" applyFont="1" applyBorder="1" applyAlignment="1">
      <alignment horizontal="center" wrapText="1"/>
    </xf>
    <xf fontId="30" fillId="0" borderId="18" numFmtId="0" xfId="0" applyFont="1" applyBorder="1" applyAlignment="1">
      <alignment horizontal="center" wrapText="1"/>
    </xf>
    <xf fontId="29" fillId="0" borderId="18" numFmtId="0" xfId="24" applyFont="1" applyBorder="1" applyAlignment="1">
      <alignment wrapText="1"/>
    </xf>
    <xf fontId="29" fillId="0" borderId="18" numFmtId="0" xfId="0" applyFont="1" applyBorder="1"/>
    <xf fontId="30" fillId="0" borderId="18" numFmtId="0" xfId="24" applyFont="1" applyBorder="1" applyAlignment="1">
      <alignment horizontal="center" vertical="center" wrapText="1"/>
    </xf>
    <xf fontId="30" fillId="0" borderId="18" numFmtId="0" xfId="24" applyFont="1" applyBorder="1" applyAlignment="1">
      <alignment horizontal="center" vertical="center"/>
    </xf>
    <xf fontId="30" fillId="0" borderId="18" numFmtId="165" xfId="24" applyNumberFormat="1" applyFont="1" applyBorder="1" applyAlignment="1">
      <alignment horizontal="center" vertical="center"/>
    </xf>
    <xf fontId="30" fillId="0" borderId="18" numFmtId="4" xfId="0" applyNumberFormat="1" applyFont="1" applyBorder="1" applyAlignment="1">
      <alignment horizontal="center" vertical="center" wrapText="1"/>
    </xf>
    <xf fontId="30" fillId="0" borderId="18" numFmtId="0" xfId="24" applyFont="1" applyBorder="1" applyAlignment="1">
      <alignment wrapText="1"/>
    </xf>
    <xf fontId="30" fillId="0" borderId="18" numFmtId="4" xfId="0" applyNumberFormat="1" applyFont="1" applyBorder="1" applyAlignment="1">
      <alignment horizontal="center" vertical="center"/>
    </xf>
    <xf fontId="30" fillId="0" borderId="18" numFmtId="0" xfId="0" applyFont="1" applyBorder="1" applyAlignment="1">
      <alignment horizontal="left" wrapText="1"/>
    </xf>
    <xf fontId="30" fillId="0" borderId="18" numFmtId="0" xfId="0" applyFont="1" applyBorder="1" applyAlignment="1">
      <alignment horizontal="center" vertical="center" wrapText="1"/>
    </xf>
    <xf fontId="34" fillId="0" borderId="18" numFmtId="0" xfId="24" applyFont="1" applyBorder="1" applyAlignment="1">
      <alignment wrapText="1"/>
    </xf>
    <xf fontId="30" fillId="0" borderId="18" numFmtId="0" xfId="10" applyFont="1" applyBorder="1"/>
    <xf fontId="30" fillId="0" borderId="0" numFmtId="4" xfId="0" applyNumberFormat="1" applyFont="1" applyAlignment="1">
      <alignment horizontal="center" wrapText="1"/>
    </xf>
    <xf fontId="30" fillId="0" borderId="18" numFmtId="0" xfId="24" applyFont="1" applyBorder="1" applyAlignment="1">
      <alignment horizontal="left" wrapText="1"/>
    </xf>
    <xf fontId="35" fillId="0" borderId="0" numFmtId="0" xfId="0" applyFont="1" applyAlignment="1">
      <alignment horizontal="left" vertical="center"/>
    </xf>
    <xf fontId="35" fillId="0" borderId="0" numFmtId="0" xfId="0" applyFont="1" applyAlignment="1">
      <alignment horizontal="center" vertical="center"/>
    </xf>
    <xf fontId="0" fillId="0" borderId="0" numFmtId="0" xfId="0" applyAlignment="1">
      <alignment horizontal="center" vertical="center" wrapText="1"/>
    </xf>
    <xf fontId="36" fillId="21" borderId="11" numFmtId="0" xfId="0" applyFont="1" applyFill="1" applyBorder="1" applyAlignment="1">
      <alignment horizontal="center" vertical="center" wrapText="1"/>
    </xf>
    <xf fontId="35" fillId="0" borderId="11" numFmtId="0" xfId="0" applyFont="1" applyBorder="1" applyAlignment="1">
      <alignment horizontal="center" vertical="center" wrapText="1"/>
    </xf>
    <xf fontId="35" fillId="0" borderId="11" numFmtId="0" xfId="0" applyFont="1" applyBorder="1" applyAlignment="1">
      <alignment horizontal="left" vertical="center" wrapText="1"/>
    </xf>
    <xf fontId="35" fillId="0" borderId="11" numFmtId="0" xfId="0" applyFont="1" applyBorder="1" applyAlignment="1">
      <alignment horizontal="center" vertical="center"/>
    </xf>
    <xf fontId="35" fillId="0" borderId="11" numFmtId="4" xfId="0" applyNumberFormat="1" applyFont="1" applyBorder="1" applyAlignment="1">
      <alignment horizontal="center" vertical="center"/>
    </xf>
    <xf fontId="35" fillId="0" borderId="11" numFmtId="4" xfId="0" applyNumberFormat="1" applyFont="1" applyBorder="1" applyAlignment="1">
      <alignment horizontal="center" vertical="center" wrapText="1"/>
    </xf>
    <xf fontId="35" fillId="0" borderId="11" numFmtId="4" xfId="0" applyNumberFormat="1" applyFont="1" applyBorder="1" applyAlignment="1">
      <alignment horizontal="right" vertical="center" wrapText="1"/>
    </xf>
    <xf fontId="35" fillId="0" borderId="11" numFmtId="4" xfId="30" applyNumberFormat="1" applyFont="1" applyBorder="1" applyAlignment="1">
      <alignment horizontal="center" vertical="center" wrapText="1"/>
    </xf>
    <xf fontId="35" fillId="0" borderId="11" numFmtId="4" xfId="0" applyNumberFormat="1" applyFont="1" applyBorder="1" applyAlignment="1">
      <alignment horizontal="right" vertical="center"/>
    </xf>
    <xf fontId="0" fillId="0" borderId="0" numFmtId="4" xfId="0" applyNumberFormat="1"/>
    <xf fontId="35" fillId="0" borderId="11" numFmtId="0" xfId="0" applyFont="1" applyBorder="1" applyAlignment="1">
      <alignment horizontal="left" vertical="center"/>
    </xf>
    <xf fontId="36" fillId="22" borderId="11" numFmtId="0" xfId="0" applyFont="1" applyFill="1" applyBorder="1" applyAlignment="1">
      <alignment horizontal="left" vertical="center" wrapText="1"/>
    </xf>
    <xf fontId="36" fillId="22" borderId="11" numFmtId="0" xfId="0" applyFont="1" applyFill="1" applyBorder="1" applyAlignment="1">
      <alignment horizontal="center" vertical="center"/>
    </xf>
    <xf fontId="36" fillId="22" borderId="11" numFmtId="4" xfId="0" applyNumberFormat="1" applyFont="1" applyFill="1" applyBorder="1" applyAlignment="1">
      <alignment horizontal="right" vertical="center"/>
    </xf>
    <xf fontId="35" fillId="0" borderId="0" numFmtId="0" xfId="0" applyFont="1"/>
    <xf fontId="0" fillId="0" borderId="0" numFmtId="0" xfId="0" applyAlignment="1">
      <alignment horizontal="center" vertical="center"/>
    </xf>
    <xf fontId="37" fillId="0" borderId="11" numFmtId="0" xfId="0" applyFont="1" applyBorder="1" applyAlignment="1">
      <alignment horizontal="center" vertical="center"/>
    </xf>
    <xf fontId="37" fillId="0" borderId="19" numFmtId="0" xfId="0" applyFont="1" applyBorder="1" applyAlignment="1">
      <alignment horizontal="center" vertical="center"/>
    </xf>
    <xf fontId="37" fillId="0" borderId="20" numFmtId="0" xfId="0" applyFont="1" applyBorder="1" applyAlignment="1">
      <alignment horizontal="center" vertical="center"/>
    </xf>
    <xf fontId="38" fillId="0" borderId="0" numFmtId="0" xfId="0" applyFont="1" applyAlignment="1">
      <alignment vertical="center"/>
    </xf>
    <xf fontId="39" fillId="0" borderId="0" numFmtId="0" xfId="0" applyFont="1"/>
    <xf fontId="36" fillId="23" borderId="11" numFmtId="0" xfId="0" applyFont="1" applyFill="1" applyBorder="1" applyAlignment="1">
      <alignment horizontal="center" vertical="center" wrapText="1"/>
    </xf>
    <xf fontId="36" fillId="0" borderId="11" numFmtId="0" xfId="0" applyFont="1" applyBorder="1" applyAlignment="1">
      <alignment horizontal="center" vertical="center" wrapText="1"/>
    </xf>
    <xf fontId="35" fillId="23" borderId="11" numFmtId="0" xfId="0" applyFont="1" applyFill="1" applyBorder="1" applyAlignment="1">
      <alignment vertical="center" wrapText="1"/>
    </xf>
    <xf fontId="35" fillId="23" borderId="11" numFmtId="0" xfId="0" applyFont="1" applyFill="1" applyBorder="1" applyAlignment="1">
      <alignment horizontal="center" vertical="center" wrapText="1"/>
    </xf>
    <xf fontId="40" fillId="24" borderId="11" numFmtId="0" xfId="0" applyFont="1" applyFill="1" applyBorder="1" applyAlignment="1">
      <alignment horizontal="center" vertical="center"/>
    </xf>
    <xf fontId="41" fillId="23" borderId="11" numFmtId="0" xfId="0" applyFont="1" applyFill="1" applyBorder="1" applyAlignment="1">
      <alignment vertical="center" wrapText="1"/>
    </xf>
    <xf fontId="42" fillId="25" borderId="11" numFmtId="0" xfId="0" applyFont="1" applyFill="1" applyBorder="1" applyAlignment="1">
      <alignment horizontal="center" vertical="center"/>
    </xf>
    <xf fontId="0" fillId="0" borderId="11" numFmtId="0" xfId="0" applyBorder="1" applyAlignment="1">
      <alignment horizontal="center" vertical="center"/>
    </xf>
    <xf fontId="37" fillId="0" borderId="0" numFmtId="0" xfId="0" applyFont="1" applyAlignment="1">
      <alignment horizontal="center"/>
    </xf>
    <xf fontId="41" fillId="0" borderId="11" numFmtId="0" xfId="0" applyFont="1" applyBorder="1" applyAlignment="1">
      <alignment horizontal="left" vertical="center"/>
    </xf>
    <xf fontId="41" fillId="23" borderId="11" numFmtId="0" xfId="0" applyFont="1" applyFill="1" applyBorder="1" applyAlignment="1">
      <alignment horizontal="center" vertical="center" wrapText="1"/>
    </xf>
    <xf fontId="41" fillId="0" borderId="11" numFmtId="0" xfId="0" applyFont="1" applyBorder="1"/>
    <xf fontId="0" fillId="17" borderId="0" numFmtId="0" xfId="0" applyFill="1"/>
    <xf fontId="15" fillId="0" borderId="0" numFmtId="0" xfId="30" applyFont="1"/>
    <xf fontId="39" fillId="0" borderId="0" numFmtId="0" xfId="30" applyFont="1"/>
    <xf fontId="15" fillId="0" borderId="0" numFmtId="0" xfId="30" applyFont="1" applyAlignment="1">
      <alignment wrapText="1"/>
    </xf>
    <xf fontId="43" fillId="0" borderId="0" numFmtId="0" xfId="30" applyFont="1"/>
    <xf fontId="15" fillId="0" borderId="0" numFmtId="0" xfId="30" applyFont="1" applyAlignment="1">
      <alignment vertical="top" wrapText="1"/>
    </xf>
    <xf fontId="15" fillId="0" borderId="0" numFmtId="0" xfId="30" applyFont="1" applyAlignment="1">
      <alignment horizontal="center" vertical="top" wrapText="1"/>
    </xf>
    <xf fontId="15" fillId="0" borderId="0" numFmtId="0" xfId="30" applyFont="1" applyAlignment="1">
      <alignment horizontal="center" wrapText="1"/>
    </xf>
    <xf fontId="0" fillId="20" borderId="11" numFmtId="0" xfId="0" applyFill="1" applyBorder="1" applyAlignment="1">
      <alignment vertical="top" wrapText="1"/>
    </xf>
    <xf fontId="44" fillId="20" borderId="11" numFmtId="0" xfId="0" applyFont="1" applyFill="1" applyBorder="1" applyAlignment="1">
      <alignment horizontal="center" vertical="top"/>
    </xf>
    <xf fontId="0" fillId="20" borderId="11" numFmtId="164" xfId="0" applyNumberFormat="1" applyFill="1" applyBorder="1" applyAlignment="1">
      <alignment horizontal="right" vertical="top" wrapText="1"/>
    </xf>
    <xf fontId="0" fillId="20" borderId="11" numFmtId="0" xfId="0" applyFill="1" applyBorder="1" applyAlignment="1">
      <alignment horizontal="right" vertical="top" wrapText="1"/>
    </xf>
    <xf fontId="0" fillId="20" borderId="11" numFmtId="0" xfId="0" applyFill="1" applyBorder="1" applyAlignment="1">
      <alignment indent="1" vertical="top" wrapText="1"/>
    </xf>
    <xf fontId="44" fillId="20" borderId="11" numFmtId="0" xfId="0" applyFont="1" applyFill="1" applyBorder="1" applyAlignment="1">
      <alignment indent="2" vertical="top" wrapText="1"/>
    </xf>
    <xf fontId="44" fillId="20" borderId="11" numFmtId="164" xfId="0" applyNumberFormat="1" applyFont="1" applyFill="1" applyBorder="1" applyAlignment="1">
      <alignment horizontal="right" vertical="top" wrapText="1"/>
    </xf>
    <xf fontId="44" fillId="20" borderId="11" numFmtId="0" xfId="0" applyFont="1" applyFill="1" applyBorder="1" applyAlignment="1">
      <alignment horizontal="right" vertical="top" wrapText="1"/>
    </xf>
    <xf fontId="44" fillId="20" borderId="11" numFmtId="0" xfId="0" applyFont="1" applyFill="1" applyBorder="1" applyAlignment="1">
      <alignment indent="3" vertical="top" wrapText="1"/>
    </xf>
    <xf fontId="0" fillId="26" borderId="11" numFmtId="0" xfId="30" applyFill="1" applyBorder="1" applyAlignment="1">
      <alignment indent="1" vertical="top" wrapText="1"/>
    </xf>
    <xf fontId="0" fillId="26" borderId="11" numFmtId="164" xfId="30" applyNumberFormat="1" applyFill="1" applyBorder="1" applyAlignment="1">
      <alignment horizontal="right" vertical="top" wrapText="1"/>
    </xf>
    <xf fontId="0" fillId="26" borderId="11" numFmtId="0" xfId="30" applyFill="1" applyBorder="1" applyAlignment="1">
      <alignment horizontal="right" vertical="top" wrapText="1"/>
    </xf>
    <xf fontId="44" fillId="27" borderId="11" numFmtId="0" xfId="30" applyFont="1" applyFill="1" applyBorder="1" applyAlignment="1">
      <alignment indent="2" vertical="top" wrapText="1"/>
    </xf>
    <xf fontId="44" fillId="27" borderId="11" numFmtId="164" xfId="30" applyNumberFormat="1" applyFont="1" applyFill="1" applyBorder="1" applyAlignment="1">
      <alignment horizontal="right" vertical="top" wrapText="1"/>
    </xf>
    <xf fontId="44" fillId="27" borderId="11" numFmtId="0" xfId="30" applyFont="1" applyFill="1" applyBorder="1" applyAlignment="1">
      <alignment horizontal="right" vertical="top" wrapText="1"/>
    </xf>
    <xf fontId="44" fillId="27" borderId="11" numFmtId="0" xfId="30" applyFont="1" applyFill="1" applyBorder="1" applyAlignment="1">
      <alignment indent="3" vertical="top" wrapText="1"/>
    </xf>
    <xf fontId="44" fillId="0" borderId="11" numFmtId="0" xfId="30" applyFont="1" applyBorder="1" applyAlignment="1">
      <alignment indent="4" vertical="top" wrapText="1"/>
    </xf>
    <xf fontId="44" fillId="0" borderId="11" numFmtId="0" xfId="30" applyFont="1" applyBorder="1" applyAlignment="1">
      <alignment vertical="top" wrapText="1"/>
    </xf>
    <xf fontId="44" fillId="0" borderId="11" numFmtId="166" xfId="30" applyNumberFormat="1" applyFont="1" applyBorder="1" applyAlignment="1">
      <alignment horizontal="right" vertical="top" wrapText="1"/>
    </xf>
    <xf fontId="44" fillId="0" borderId="11" numFmtId="0" xfId="30" applyFont="1" applyBorder="1" applyAlignment="1">
      <alignment horizontal="right" vertical="top" wrapText="1"/>
    </xf>
    <xf fontId="44" fillId="15" borderId="11" numFmtId="0" xfId="30" applyFont="1" applyFill="1" applyBorder="1" applyAlignment="1">
      <alignment indent="4" vertical="top" wrapText="1"/>
    </xf>
    <xf fontId="44" fillId="15" borderId="11" numFmtId="0" xfId="30" applyFont="1" applyFill="1" applyBorder="1" applyAlignment="1">
      <alignment vertical="top" wrapText="1"/>
    </xf>
    <xf fontId="44" fillId="15" borderId="11" numFmtId="166" xfId="30" applyNumberFormat="1" applyFont="1" applyFill="1" applyBorder="1" applyAlignment="1">
      <alignment horizontal="right" vertical="top" wrapText="1"/>
    </xf>
    <xf fontId="44" fillId="15" borderId="11" numFmtId="0" xfId="30" applyFont="1" applyFill="1" applyBorder="1" applyAlignment="1">
      <alignment horizontal="right" vertical="top" wrapText="1"/>
    </xf>
    <xf fontId="16" fillId="0" borderId="0" numFmtId="0" xfId="0" applyFont="1" applyAlignment="1">
      <alignment horizontal="center" wrapText="1"/>
    </xf>
    <xf fontId="16" fillId="0" borderId="0" numFmtId="0" xfId="0" applyFont="1" applyAlignment="1">
      <alignment horizontal="left" vertical="top" wrapText="1"/>
    </xf>
    <xf fontId="16" fillId="0" borderId="0" numFmtId="4" xfId="0" applyNumberFormat="1" applyFont="1" applyAlignment="1">
      <alignment horizontal="center" wrapText="1"/>
    </xf>
    <xf fontId="16" fillId="0" borderId="0" numFmtId="0" xfId="0" applyFont="1" applyAlignment="1">
      <alignment horizontal="right" wrapText="1"/>
    </xf>
    <xf fontId="9" fillId="0" borderId="0" numFmtId="0" xfId="0" applyFont="1" applyAlignment="1">
      <alignment horizontal="center" wrapText="1"/>
    </xf>
    <xf fontId="9" fillId="24" borderId="11" numFmtId="0" xfId="0" applyFont="1" applyFill="1" applyBorder="1" applyAlignment="1">
      <alignment horizontal="center" vertical="center" wrapText="1"/>
    </xf>
    <xf fontId="9" fillId="24" borderId="11" numFmtId="4" xfId="0" applyNumberFormat="1" applyFont="1" applyFill="1" applyBorder="1" applyAlignment="1">
      <alignment horizontal="center" vertical="center" wrapText="1"/>
    </xf>
    <xf fontId="9" fillId="22" borderId="16" numFmtId="0" xfId="0" applyFont="1" applyFill="1" applyBorder="1" applyAlignment="1">
      <alignment horizontal="center" vertical="center" wrapText="1"/>
    </xf>
    <xf fontId="9" fillId="22" borderId="17" numFmtId="0" xfId="0" applyFont="1" applyFill="1" applyBorder="1" applyAlignment="1">
      <alignment horizontal="center" vertical="center" wrapText="1"/>
    </xf>
    <xf fontId="16" fillId="0" borderId="11" numFmtId="0" xfId="0" applyFont="1" applyBorder="1" applyAlignment="1">
      <alignment horizontal="center" wrapText="1"/>
    </xf>
    <xf fontId="45" fillId="0" borderId="11" numFmtId="0" xfId="0" applyFont="1" applyBorder="1"/>
    <xf fontId="16" fillId="0" borderId="11" numFmtId="0" xfId="24" applyFont="1" applyBorder="1" applyAlignment="1">
      <alignment horizontal="center" vertical="center"/>
    </xf>
    <xf fontId="16" fillId="0" borderId="10" numFmtId="0" xfId="0" applyFont="1" applyBorder="1" applyAlignment="1">
      <alignment horizontal="center" vertical="top" wrapText="1"/>
    </xf>
    <xf fontId="16" fillId="0" borderId="12" numFmtId="0" xfId="0" applyFont="1" applyBorder="1" applyAlignment="1">
      <alignment horizontal="center" vertical="top" wrapText="1"/>
    </xf>
    <xf fontId="16" fillId="0" borderId="11" numFmtId="0" xfId="0" applyFont="1" applyBorder="1" applyAlignment="1">
      <alignment horizontal="left" wrapText="1"/>
    </xf>
    <xf fontId="16" fillId="0" borderId="11" numFmtId="0" xfId="24" applyFont="1" applyBorder="1" applyAlignment="1">
      <alignment wrapText="1"/>
    </xf>
    <xf fontId="16" fillId="0" borderId="11" numFmtId="0" xfId="10" applyFont="1" applyBorder="1"/>
    <xf fontId="9" fillId="22" borderId="16" numFmtId="0" xfId="0" applyFont="1" applyFill="1" applyBorder="1" applyAlignment="1">
      <alignment horizontal="center" vertical="top" wrapText="1"/>
    </xf>
    <xf fontId="9" fillId="22" borderId="17" numFmtId="0" xfId="0" applyFont="1" applyFill="1" applyBorder="1" applyAlignment="1">
      <alignment horizontal="center" vertical="top" wrapText="1"/>
    </xf>
    <xf fontId="16" fillId="0" borderId="13" numFmtId="0" xfId="0" applyFont="1" applyBorder="1" applyAlignment="1">
      <alignment horizontal="center" vertical="top" wrapText="1"/>
    </xf>
    <xf fontId="9" fillId="22" borderId="11" numFmtId="0" xfId="0" applyFont="1" applyFill="1" applyBorder="1" applyAlignment="1">
      <alignment horizontal="center" vertical="top" wrapText="1"/>
    </xf>
    <xf fontId="45" fillId="0" borderId="0" numFmtId="0" xfId="0" applyFont="1"/>
    <xf fontId="16" fillId="0" borderId="11" numFmtId="0" xfId="0" applyFont="1" applyBorder="1" applyAlignment="1">
      <alignment horizontal="center" vertical="top" wrapText="1"/>
    </xf>
    <xf fontId="16" fillId="0" borderId="0" numFmtId="0" xfId="0" applyFont="1" applyAlignment="1">
      <alignment horizontal="left" wrapText="1"/>
    </xf>
    <xf fontId="39" fillId="20" borderId="11" numFmtId="0" xfId="0" applyFont="1" applyFill="1" applyBorder="1" applyAlignment="1">
      <alignment horizontal="center" vertical="center" wrapText="1"/>
    </xf>
    <xf fontId="39" fillId="28" borderId="11" numFmtId="0" xfId="0" applyFont="1" applyFill="1" applyBorder="1" applyAlignment="1">
      <alignment horizontal="center" vertical="center" wrapText="1"/>
    </xf>
    <xf fontId="19" fillId="0" borderId="11" numFmtId="0" xfId="0" applyFont="1" applyBorder="1" applyAlignment="1">
      <alignment horizontal="center" vertical="center" wrapText="1"/>
    </xf>
    <xf fontId="19" fillId="0" borderId="11" numFmtId="0" xfId="0" applyFont="1" applyBorder="1" applyAlignment="1">
      <alignment horizontal="center" vertical="center"/>
    </xf>
    <xf fontId="19" fillId="0" borderId="11" numFmtId="4" xfId="0" applyNumberFormat="1" applyFont="1" applyBorder="1" applyAlignment="1">
      <alignment horizontal="center" vertical="center"/>
    </xf>
    <xf fontId="19" fillId="0" borderId="11" numFmtId="4" xfId="0" applyNumberFormat="1" applyFont="1" applyBorder="1" applyAlignment="1">
      <alignment horizontal="center" vertical="center" wrapText="1"/>
    </xf>
    <xf fontId="0" fillId="0" borderId="11" numFmtId="4" xfId="0" applyNumberFormat="1" applyBorder="1" applyAlignment="1">
      <alignment horizontal="center" vertical="center"/>
    </xf>
    <xf fontId="19" fillId="0" borderId="11" numFmtId="2" xfId="0" applyNumberFormat="1" applyFont="1" applyBorder="1" applyAlignment="1">
      <alignment horizontal="center" vertical="center"/>
    </xf>
    <xf fontId="0" fillId="0" borderId="18" numFmtId="0" xfId="0" applyBorder="1"/>
    <xf fontId="46" fillId="0" borderId="0" numFmtId="0" xfId="0" applyFont="1"/>
    <xf fontId="0" fillId="0" borderId="0" numFmtId="0" xfId="0"/>
    <xf fontId="0" fillId="0" borderId="0" numFmtId="1" xfId="0" applyNumberFormat="1"/>
    <xf fontId="0" fillId="17" borderId="0" numFmtId="1" xfId="0" applyNumberFormat="1" applyFill="1"/>
    <xf fontId="19" fillId="0" borderId="11" numFmtId="0" xfId="24" applyFont="1" applyBorder="1" applyAlignment="1">
      <alignment wrapText="1"/>
    </xf>
    <xf fontId="19" fillId="0" borderId="11" numFmtId="0" xfId="24" applyFont="1" applyBorder="1" applyAlignment="1">
      <alignment horizontal="center" vertical="center" wrapText="1"/>
    </xf>
    <xf fontId="19" fillId="0" borderId="11" numFmtId="0" xfId="0" applyFont="1" applyBorder="1" applyAlignment="1">
      <alignment horizontal="left" wrapText="1"/>
    </xf>
    <xf fontId="19" fillId="0" borderId="11" numFmtId="0" xfId="24" applyFont="1" applyBorder="1" applyAlignment="1">
      <alignment horizontal="center" vertical="center"/>
    </xf>
    <xf fontId="19" fillId="0" borderId="11" numFmtId="4" xfId="24" applyNumberFormat="1" applyFont="1" applyBorder="1" applyAlignment="1">
      <alignment horizontal="center" vertical="center" wrapText="1"/>
    </xf>
    <xf fontId="47" fillId="0" borderId="0" numFmtId="0" xfId="0" applyFont="1"/>
    <xf fontId="48" fillId="0" borderId="11" numFmtId="0" xfId="0" applyFont="1" applyBorder="1" applyAlignment="1">
      <alignment horizontal="left" vertical="center" wrapText="1"/>
    </xf>
    <xf fontId="48" fillId="0" borderId="11" numFmtId="0" xfId="0" applyFont="1" applyBorder="1" applyAlignment="1">
      <alignment horizontal="center" vertical="center"/>
    </xf>
    <xf fontId="48" fillId="0" borderId="11" numFmtId="4" xfId="0" applyNumberFormat="1" applyFont="1" applyBorder="1" applyAlignment="1">
      <alignment horizontal="right" vertical="center"/>
    </xf>
    <xf fontId="48" fillId="0" borderId="0" numFmtId="0" xfId="0" applyFont="1" applyAlignment="1">
      <alignment horizontal="center" vertical="center"/>
    </xf>
    <xf fontId="48" fillId="0" borderId="0" numFmtId="4" xfId="0" applyNumberFormat="1" applyFont="1" applyAlignment="1">
      <alignment horizontal="right" vertical="center"/>
    </xf>
    <xf fontId="29" fillId="0" borderId="0" numFmtId="0" xfId="0" applyFont="1"/>
    <xf fontId="48" fillId="0" borderId="11" numFmtId="0" xfId="0" applyFont="1" applyBorder="1" applyAlignment="1">
      <alignment horizontal="left" indent="5" vertical="center" wrapText="1"/>
    </xf>
    <xf fontId="16" fillId="0" borderId="11" numFmtId="0" xfId="0" applyFont="1" applyBorder="1" applyAlignment="1">
      <alignment horizontal="left" vertical="center"/>
    </xf>
    <xf fontId="48" fillId="0" borderId="11" numFmtId="0" xfId="24" applyFont="1" applyBorder="1" applyAlignment="1">
      <alignment horizontal="left" vertical="center" wrapText="1"/>
    </xf>
    <xf fontId="16" fillId="0" borderId="11" numFmtId="0" xfId="0" applyFont="1" applyBorder="1" applyAlignment="1">
      <alignment horizontal="center" vertical="center"/>
    </xf>
    <xf fontId="16" fillId="0" borderId="0" numFmtId="0" xfId="0" applyFont="1" applyAlignment="1">
      <alignment horizontal="center" vertical="center"/>
    </xf>
    <xf fontId="13" fillId="0" borderId="0" numFmtId="0" xfId="36" applyFont="1"/>
    <xf fontId="25" fillId="0" borderId="0" numFmtId="0" xfId="36" applyFont="1"/>
    <xf fontId="49" fillId="0" borderId="0" numFmtId="0" xfId="36" applyFont="1"/>
    <xf fontId="13" fillId="0" borderId="0" numFmtId="3" xfId="36" applyNumberFormat="1" applyFont="1"/>
    <xf fontId="13" fillId="0" borderId="0" numFmtId="0" xfId="36" applyFont="1" applyAlignment="1">
      <alignment horizontal="center"/>
    </xf>
    <xf fontId="50" fillId="0" borderId="0" numFmtId="0" xfId="36" applyFont="1" applyAlignment="1">
      <alignment horizontal="center"/>
    </xf>
    <xf fontId="13" fillId="0" borderId="0" numFmtId="167" xfId="36" applyNumberFormat="1" applyFont="1"/>
    <xf fontId="25" fillId="0" borderId="0" numFmtId="0" xfId="36" applyFont="1" applyAlignment="1">
      <alignment horizontal="center"/>
    </xf>
    <xf fontId="25" fillId="0" borderId="0" numFmtId="0" xfId="36" applyFont="1" applyAlignment="1">
      <alignment horizontal="center" vertical="center"/>
    </xf>
    <xf fontId="25" fillId="0" borderId="11" numFmtId="0" xfId="36" applyFont="1" applyBorder="1" applyAlignment="1">
      <alignment horizontal="center" vertical="center"/>
    </xf>
    <xf fontId="25" fillId="0" borderId="11" numFmtId="0" xfId="36" applyFont="1" applyBorder="1" applyAlignment="1">
      <alignment horizontal="center" vertical="center" wrapText="1"/>
    </xf>
    <xf fontId="49" fillId="0" borderId="11" numFmtId="0" xfId="36" applyFont="1" applyBorder="1" applyAlignment="1">
      <alignment horizontal="center" vertical="center" wrapText="1"/>
    </xf>
    <xf fontId="49" fillId="0" borderId="10" numFmtId="0" xfId="36" applyFont="1" applyBorder="1" applyAlignment="1">
      <alignment horizontal="center" vertical="center" wrapText="1"/>
    </xf>
    <xf fontId="25" fillId="0" borderId="10" numFmtId="0" xfId="36" applyFont="1" applyBorder="1" applyAlignment="1">
      <alignment horizontal="center" vertical="center" wrapText="1"/>
    </xf>
    <xf fontId="25" fillId="0" borderId="10" numFmtId="3" xfId="36" applyNumberFormat="1" applyFont="1" applyBorder="1" applyAlignment="1">
      <alignment horizontal="center" vertical="center" wrapText="1"/>
    </xf>
    <xf fontId="49" fillId="0" borderId="12" numFmtId="0" xfId="36" applyFont="1" applyBorder="1" applyAlignment="1">
      <alignment horizontal="center" vertical="center" wrapText="1"/>
    </xf>
    <xf fontId="25" fillId="0" borderId="13" numFmtId="0" xfId="36" applyFont="1" applyBorder="1" applyAlignment="1">
      <alignment horizontal="center" vertical="center" wrapText="1"/>
    </xf>
    <xf fontId="25" fillId="0" borderId="12" numFmtId="3" xfId="36" applyNumberFormat="1" applyFont="1" applyBorder="1" applyAlignment="1">
      <alignment horizontal="center" vertical="center" wrapText="1"/>
    </xf>
    <xf fontId="25" fillId="0" borderId="12" numFmtId="0" xfId="36" applyFont="1" applyBorder="1" applyAlignment="1">
      <alignment horizontal="center" vertical="center" wrapText="1"/>
    </xf>
    <xf fontId="51" fillId="0" borderId="11" numFmtId="0" xfId="36" applyFont="1" applyBorder="1" applyAlignment="1">
      <alignment horizontal="center" vertical="center"/>
    </xf>
    <xf fontId="51" fillId="0" borderId="11" numFmtId="0" xfId="36" applyFont="1" applyBorder="1" applyAlignment="1">
      <alignment horizontal="center" vertical="center" wrapText="1"/>
    </xf>
    <xf fontId="51" fillId="0" borderId="10" numFmtId="0" xfId="36" applyFont="1" applyBorder="1" applyAlignment="1">
      <alignment horizontal="center" vertical="center" wrapText="1"/>
    </xf>
    <xf fontId="25" fillId="0" borderId="21" numFmtId="0" xfId="36" applyFont="1" applyBorder="1" applyAlignment="1">
      <alignment horizontal="center" vertical="center" wrapText="1"/>
    </xf>
    <xf fontId="49" fillId="0" borderId="13" numFmtId="0" xfId="36" applyFont="1" applyBorder="1" applyAlignment="1">
      <alignment horizontal="center" vertical="center" wrapText="1"/>
    </xf>
    <xf fontId="25" fillId="0" borderId="13" numFmtId="3" xfId="36" applyNumberFormat="1" applyFont="1" applyBorder="1" applyAlignment="1">
      <alignment horizontal="center" vertical="center" wrapText="1"/>
    </xf>
    <xf fontId="51" fillId="0" borderId="13" numFmtId="0" xfId="36" applyFont="1" applyBorder="1" applyAlignment="1">
      <alignment horizontal="center" vertical="center" wrapText="1"/>
    </xf>
    <xf fontId="25" fillId="0" borderId="19" numFmtId="0" xfId="36" applyFont="1" applyBorder="1" applyAlignment="1">
      <alignment horizontal="center" vertical="center" wrapText="1"/>
    </xf>
    <xf fontId="25" fillId="0" borderId="11" numFmtId="0" xfId="36" applyFont="1" applyBorder="1" applyAlignment="1">
      <alignment horizontal="left"/>
    </xf>
    <xf fontId="29" fillId="0" borderId="11" numFmtId="0" xfId="24" applyFont="1" applyBorder="1" applyAlignment="1">
      <alignment wrapText="1"/>
    </xf>
    <xf fontId="49" fillId="0" borderId="11" numFmtId="0" xfId="36" applyFont="1" applyBorder="1" applyAlignment="1">
      <alignment horizontal="center" vertical="center"/>
    </xf>
    <xf fontId="13" fillId="0" borderId="11" numFmtId="0" xfId="36" applyFont="1" applyBorder="1" applyAlignment="1">
      <alignment horizontal="center" vertical="center"/>
    </xf>
    <xf fontId="52" fillId="0" borderId="11" numFmtId="3" xfId="36" applyNumberFormat="1" applyFont="1" applyBorder="1" applyAlignment="1">
      <alignment horizontal="center" vertical="center"/>
    </xf>
    <xf fontId="13" fillId="0" borderId="11" numFmtId="3" xfId="36" applyNumberFormat="1" applyFont="1" applyBorder="1" applyAlignment="1">
      <alignment horizontal="center" vertical="center"/>
    </xf>
    <xf fontId="13" fillId="0" borderId="11" numFmtId="2" xfId="36" applyNumberFormat="1" applyFont="1" applyBorder="1" applyAlignment="1">
      <alignment horizontal="center" vertical="center"/>
    </xf>
    <xf fontId="0" fillId="0" borderId="11" numFmtId="3" xfId="0" applyNumberFormat="1" applyBorder="1" applyAlignment="1">
      <alignment horizontal="center" vertical="center"/>
    </xf>
    <xf fontId="13" fillId="0" borderId="11" numFmtId="4" xfId="36" applyNumberFormat="1" applyFont="1" applyBorder="1" applyAlignment="1">
      <alignment horizontal="center" vertical="center"/>
    </xf>
    <xf fontId="13" fillId="0" borderId="10" numFmtId="4" xfId="36" applyNumberFormat="1" applyFont="1" applyBorder="1" applyAlignment="1">
      <alignment horizontal="center" vertical="center"/>
    </xf>
    <xf fontId="13" fillId="0" borderId="15" numFmtId="3" xfId="36" applyNumberFormat="1" applyFont="1" applyBorder="1" applyAlignment="1">
      <alignment horizontal="center" vertical="center"/>
    </xf>
    <xf fontId="13" fillId="0" borderId="15" numFmtId="3" xfId="36" applyNumberFormat="1" applyFont="1" applyBorder="1" applyAlignment="1">
      <alignment vertical="center"/>
    </xf>
    <xf fontId="13" fillId="0" borderId="11" numFmtId="3" xfId="36" applyNumberFormat="1" applyFont="1" applyBorder="1" applyAlignment="1">
      <alignment vertical="center"/>
    </xf>
    <xf fontId="13" fillId="0" borderId="0" numFmtId="9" xfId="51" applyNumberFormat="1" applyFont="1"/>
    <xf fontId="49" fillId="0" borderId="10" numFmtId="0" xfId="36" applyFont="1" applyBorder="1" applyAlignment="1">
      <alignment horizontal="center" vertical="center"/>
    </xf>
    <xf fontId="13" fillId="0" borderId="10" numFmtId="0" xfId="36" applyFont="1" applyBorder="1" applyAlignment="1">
      <alignment horizontal="center" vertical="center"/>
    </xf>
    <xf fontId="52" fillId="0" borderId="10" numFmtId="3" xfId="36" applyNumberFormat="1" applyFont="1" applyBorder="1" applyAlignment="1">
      <alignment horizontal="center" vertical="center"/>
    </xf>
    <xf fontId="25" fillId="0" borderId="10" numFmtId="0" xfId="36" applyFont="1" applyBorder="1" applyAlignment="1">
      <alignment horizontal="left"/>
    </xf>
    <xf fontId="13" fillId="0" borderId="11" numFmtId="1" xfId="36" applyNumberFormat="1" applyFont="1" applyBorder="1" applyAlignment="1">
      <alignment horizontal="center" vertical="center"/>
    </xf>
    <xf fontId="13" fillId="0" borderId="21" numFmtId="3" xfId="36" applyNumberFormat="1" applyFont="1" applyBorder="1" applyAlignment="1">
      <alignment horizontal="center" vertical="center"/>
    </xf>
    <xf fontId="13" fillId="0" borderId="21" numFmtId="3" xfId="36" applyNumberFormat="1" applyFont="1" applyBorder="1" applyAlignment="1">
      <alignment vertical="center"/>
    </xf>
    <xf fontId="53" fillId="0" borderId="0" numFmtId="0" xfId="36" applyFont="1"/>
    <xf fontId="53" fillId="0" borderId="11" numFmtId="0" xfId="36" applyFont="1" applyBorder="1" applyAlignment="1">
      <alignment horizontal="left" vertical="center"/>
    </xf>
    <xf fontId="53" fillId="0" borderId="11" numFmtId="3" xfId="36" applyNumberFormat="1" applyFont="1" applyBorder="1" applyAlignment="1">
      <alignment horizontal="center" vertical="center"/>
    </xf>
    <xf fontId="54" fillId="0" borderId="11" numFmtId="0" xfId="36" applyFont="1" applyBorder="1" applyAlignment="1">
      <alignment horizontal="center" vertical="center"/>
    </xf>
    <xf fontId="53" fillId="0" borderId="11" numFmtId="0" xfId="36" applyFont="1" applyBorder="1" applyAlignment="1">
      <alignment horizontal="center" vertical="center"/>
    </xf>
    <xf fontId="53" fillId="0" borderId="11" numFmtId="165" xfId="36" applyNumberFormat="1" applyFont="1" applyBorder="1" applyAlignment="1">
      <alignment horizontal="center" vertical="center"/>
    </xf>
    <xf fontId="55" fillId="0" borderId="11" numFmtId="167" xfId="36" applyNumberFormat="1" applyFont="1" applyBorder="1" applyAlignment="1">
      <alignment horizontal="center" vertical="center"/>
    </xf>
    <xf fontId="36" fillId="0" borderId="11" numFmtId="3" xfId="36" applyNumberFormat="1" applyFont="1" applyBorder="1" applyAlignment="1">
      <alignment horizontal="center" vertical="center"/>
    </xf>
    <xf fontId="0" fillId="0" borderId="0" numFmtId="0" xfId="0" applyAlignment="1">
      <alignment horizontal="center"/>
    </xf>
    <xf fontId="56" fillId="0" borderId="0" numFmtId="0" xfId="36" applyFont="1"/>
    <xf fontId="25" fillId="0" borderId="0" numFmtId="3" xfId="36" applyNumberFormat="1" applyFont="1"/>
    <xf fontId="49" fillId="0" borderId="0" numFmtId="0" xfId="36" applyFont="1" applyAlignment="1">
      <alignment horizontal="center"/>
    </xf>
    <xf fontId="13" fillId="0" borderId="11" numFmtId="0" xfId="36" applyFont="1" applyBorder="1" applyAlignment="1">
      <alignment horizontal="center" vertical="center" wrapText="1"/>
    </xf>
    <xf fontId="13" fillId="0" borderId="11" numFmtId="0" xfId="36" applyFont="1" applyBorder="1" applyAlignment="1">
      <alignment horizontal="center"/>
    </xf>
    <xf fontId="13" fillId="0" borderId="11" numFmtId="4" xfId="36" applyNumberFormat="1" applyFont="1" applyBorder="1"/>
    <xf fontId="25" fillId="0" borderId="11" numFmtId="0" xfId="36" applyFont="1" applyBorder="1" applyAlignment="1">
      <alignment horizontal="center"/>
    </xf>
    <xf fontId="25" fillId="0" borderId="11" numFmtId="4" xfId="36" applyNumberFormat="1" applyFont="1" applyBorder="1"/>
    <xf fontId="25" fillId="0" borderId="22" numFmtId="0" xfId="36" applyFont="1" applyBorder="1" applyAlignment="1">
      <alignment horizontal="center"/>
    </xf>
    <xf fontId="25" fillId="0" borderId="23" numFmtId="0" xfId="36" applyFont="1" applyBorder="1" applyAlignment="1">
      <alignment horizontal="center"/>
    </xf>
    <xf fontId="49" fillId="0" borderId="18" numFmtId="0" xfId="36" applyFont="1" applyBorder="1" applyAlignment="1">
      <alignment horizontal="center"/>
    </xf>
    <xf fontId="25" fillId="0" borderId="18" numFmtId="0" xfId="36" applyFont="1" applyBorder="1" applyAlignment="1">
      <alignment horizontal="left" wrapText="1"/>
    </xf>
    <xf fontId="49" fillId="0" borderId="18" numFmtId="3" xfId="36" applyNumberFormat="1" applyFont="1" applyBorder="1"/>
    <xf fontId="13" fillId="0" borderId="0" numFmtId="3" xfId="36" applyNumberFormat="1" applyFont="1" applyAlignment="1">
      <alignment horizontal="center"/>
    </xf>
    <xf fontId="49" fillId="0" borderId="0" numFmtId="3" xfId="36" applyNumberFormat="1" applyFont="1"/>
    <xf fontId="13" fillId="0" borderId="0" numFmtId="0" xfId="24" applyFont="1" applyAlignment="1">
      <alignment horizontal="center"/>
    </xf>
    <xf fontId="13" fillId="0" borderId="11" numFmtId="0" xfId="24" applyFont="1" applyBorder="1" applyAlignment="1">
      <alignment horizontal="center" vertical="center" wrapText="1"/>
    </xf>
    <xf fontId="13" fillId="0" borderId="0" numFmtId="0" xfId="24" applyFont="1" applyAlignment="1">
      <alignment horizontal="center" vertical="center" wrapText="1"/>
    </xf>
    <xf fontId="13" fillId="0" borderId="10" numFmtId="0" xfId="24" applyFont="1" applyBorder="1"/>
    <xf fontId="13" fillId="0" borderId="10" numFmtId="0" xfId="24" applyFont="1" applyBorder="1" applyAlignment="1">
      <alignment wrapText="1"/>
    </xf>
    <xf fontId="28" fillId="0" borderId="11" numFmtId="0" xfId="24" applyFont="1" applyBorder="1" applyAlignment="1">
      <alignment wrapText="1"/>
    </xf>
    <xf fontId="28" fillId="0" borderId="11" numFmtId="0" xfId="24" applyFont="1" applyBorder="1" applyAlignment="1">
      <alignment horizontal="right"/>
    </xf>
    <xf fontId="28" fillId="0" borderId="11" numFmtId="0" xfId="24" applyFont="1" applyBorder="1" applyAlignment="1">
      <alignment horizontal="left"/>
    </xf>
    <xf fontId="28" fillId="0" borderId="11" numFmtId="0" xfId="24" applyFont="1" applyBorder="1"/>
    <xf fontId="28" fillId="0" borderId="11" numFmtId="2" xfId="24" applyNumberFormat="1" applyFont="1" applyBorder="1"/>
    <xf fontId="28" fillId="16" borderId="11" numFmtId="2" xfId="24" applyNumberFormat="1" applyFont="1" applyFill="1" applyBorder="1"/>
    <xf fontId="13" fillId="0" borderId="0" numFmtId="2" xfId="24" applyNumberFormat="1" applyFont="1"/>
    <xf fontId="13" fillId="0" borderId="12" numFmtId="0" xfId="24" applyFont="1" applyBorder="1"/>
    <xf fontId="28" fillId="29" borderId="11" numFmtId="2" xfId="24" applyNumberFormat="1" applyFont="1" applyFill="1" applyBorder="1"/>
    <xf fontId="28" fillId="0" borderId="11" numFmtId="0" xfId="24" applyFont="1" applyBorder="1" applyAlignment="1">
      <alignment horizontal="left" wrapText="1"/>
    </xf>
    <xf fontId="28" fillId="0" borderId="11" numFmtId="0" xfId="24" applyFont="1" applyBorder="1" applyAlignment="1">
      <alignment horizontal="center" wrapText="1"/>
    </xf>
    <xf fontId="28" fillId="0" borderId="11" numFmtId="0" xfId="24" applyFont="1" applyBorder="1" applyAlignment="1">
      <alignment horizontal="right" wrapText="1"/>
    </xf>
    <xf fontId="28" fillId="0" borderId="24" numFmtId="0" xfId="24" applyFont="1" applyBorder="1"/>
    <xf fontId="28" fillId="0" borderId="13" numFmtId="0" xfId="24" applyFont="1" applyBorder="1" applyAlignment="1">
      <alignment horizontal="right"/>
    </xf>
    <xf fontId="28" fillId="0" borderId="13" numFmtId="0" xfId="24" applyFont="1" applyBorder="1" applyAlignment="1">
      <alignment horizontal="left"/>
    </xf>
    <xf fontId="28" fillId="0" borderId="20" numFmtId="0" xfId="24" applyFont="1" applyBorder="1"/>
    <xf fontId="28" fillId="0" borderId="13" numFmtId="0" xfId="24" applyFont="1" applyBorder="1"/>
    <xf fontId="13" fillId="0" borderId="13" numFmtId="0" xfId="24" applyFont="1" applyBorder="1"/>
    <xf fontId="28" fillId="0" borderId="13" numFmtId="0" xfId="24" applyFont="1" applyBorder="1" applyAlignment="1">
      <alignment wrapText="1"/>
    </xf>
    <xf fontId="28" fillId="0" borderId="12" numFmtId="0" xfId="24" applyFont="1" applyBorder="1" applyAlignment="1">
      <alignment wrapText="1"/>
    </xf>
    <xf fontId="13" fillId="0" borderId="0" numFmtId="4" xfId="24" applyNumberFormat="1" applyFont="1"/>
    <xf fontId="13" fillId="0" borderId="0" numFmtId="0" xfId="24" applyFont="1" applyAlignment="1">
      <alignment horizontal="right"/>
    </xf>
    <xf fontId="28" fillId="0" borderId="0" numFmtId="0" xfId="24" applyFont="1" applyAlignment="1">
      <alignment horizontal="right"/>
    </xf>
    <xf fontId="57" fillId="0" borderId="11" numFmtId="0" xfId="10" applyFont="1" applyBorder="1"/>
    <xf fontId="58" fillId="0" borderId="11" numFmtId="0" xfId="24" applyFont="1" applyBorder="1" applyAlignment="1">
      <alignment wrapText="1"/>
    </xf>
    <xf fontId="58" fillId="0" borderId="11" numFmtId="0" xfId="24" applyFont="1" applyBorder="1" applyAlignment="1">
      <alignment horizontal="right"/>
    </xf>
    <xf fontId="58" fillId="0" borderId="11" numFmtId="0" xfId="24" applyFont="1" applyBorder="1" applyAlignment="1">
      <alignment horizontal="left"/>
    </xf>
    <xf fontId="58" fillId="0" borderId="11" numFmtId="0" xfId="24" applyFont="1" applyBorder="1"/>
    <xf fontId="59" fillId="0" borderId="11" numFmtId="0" xfId="24" applyFont="1" applyBorder="1"/>
    <xf fontId="60" fillId="0" borderId="0" numFmtId="0" xfId="24" applyFont="1"/>
    <xf fontId="58" fillId="16" borderId="11" numFmtId="0" xfId="24" applyFont="1" applyFill="1" applyBorder="1" applyAlignment="1">
      <alignment wrapText="1"/>
    </xf>
    <xf fontId="58" fillId="16" borderId="11" numFmtId="0" xfId="24" applyFont="1" applyFill="1" applyBorder="1" applyAlignment="1">
      <alignment horizontal="right"/>
    </xf>
    <xf fontId="58" fillId="16" borderId="11" numFmtId="0" xfId="24" applyFont="1" applyFill="1" applyBorder="1" applyAlignment="1">
      <alignment horizontal="left"/>
    </xf>
    <xf fontId="58" fillId="16" borderId="11" numFmtId="0" xfId="24" applyFont="1" applyFill="1" applyBorder="1"/>
    <xf fontId="13" fillId="16" borderId="11" numFmtId="0" xfId="24" applyFont="1" applyFill="1" applyBorder="1"/>
    <xf fontId="13" fillId="16" borderId="11" numFmtId="2" xfId="24" applyNumberFormat="1" applyFont="1" applyFill="1" applyBorder="1"/>
    <xf fontId="61" fillId="0" borderId="0" numFmtId="0" xfId="24" applyFont="1"/>
    <xf fontId="62" fillId="0" borderId="0" numFmtId="0" xfId="24" applyFont="1"/>
    <xf fontId="58" fillId="0" borderId="11" numFmtId="0" xfId="24" applyFont="1" applyBorder="1" applyAlignment="1">
      <alignment horizontal="right" wrapText="1"/>
    </xf>
    <xf fontId="58" fillId="0" borderId="11" numFmtId="0" xfId="24" applyFont="1" applyBorder="1" applyAlignment="1">
      <alignment horizontal="left" wrapText="1"/>
    </xf>
    <xf fontId="34" fillId="0" borderId="11" numFmtId="0" xfId="0" applyFont="1" applyBorder="1" applyAlignment="1">
      <alignment horizontal="left" vertical="top" wrapText="1"/>
    </xf>
    <xf fontId="34" fillId="0" borderId="11" numFmtId="0" xfId="24" applyFont="1" applyBorder="1" applyAlignment="1">
      <alignment wrapText="1"/>
    </xf>
    <xf fontId="34" fillId="0" borderId="11" numFmtId="0" xfId="24" applyFont="1" applyBorder="1" applyAlignment="1">
      <alignment horizontal="right"/>
    </xf>
    <xf fontId="34" fillId="0" borderId="11" numFmtId="0" xfId="24" applyFont="1" applyBorder="1"/>
    <xf fontId="34" fillId="0" borderId="11" numFmtId="2" xfId="24" applyNumberFormat="1" applyFont="1" applyBorder="1"/>
    <xf fontId="34" fillId="15" borderId="11" numFmtId="2" xfId="24" applyNumberFormat="1" applyFont="1" applyFill="1" applyBorder="1"/>
    <xf fontId="63" fillId="0" borderId="0" numFmtId="0" xfId="24" applyFont="1"/>
    <xf fontId="34" fillId="0" borderId="11" numFmtId="0" xfId="0" applyFont="1" applyBorder="1" applyAlignment="1">
      <alignment horizontal="left" wrapText="1"/>
    </xf>
    <xf fontId="34" fillId="0" borderId="11" numFmtId="0" xfId="0" applyFont="1" applyBorder="1" applyAlignment="1">
      <alignment horizontal="center" wrapText="1"/>
    </xf>
    <xf fontId="34" fillId="0" borderId="11" numFmtId="0" xfId="24" applyFont="1" applyBorder="1" applyAlignment="1">
      <alignment horizontal="left" wrapText="1"/>
    </xf>
    <xf fontId="34" fillId="0" borderId="11" numFmtId="0" xfId="24" applyFont="1" applyBorder="1" applyAlignment="1">
      <alignment horizontal="center" wrapText="1"/>
    </xf>
    <xf fontId="34" fillId="0" borderId="11" numFmtId="0" xfId="24" applyFont="1" applyBorder="1" applyAlignment="1">
      <alignment horizontal="left"/>
    </xf>
    <xf fontId="34" fillId="29" borderId="11" numFmtId="2" xfId="24" applyNumberFormat="1" applyFont="1" applyFill="1" applyBorder="1"/>
    <xf fontId="34" fillId="0" borderId="11" numFmtId="0" xfId="0" applyFont="1" applyBorder="1" applyAlignment="1">
      <alignment horizontal="center" vertical="center" wrapText="1"/>
    </xf>
  </cellXfs>
  <cellStyles count="68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Гиперссылка" xfId="10" builtinId="8"/>
    <cellStyle name="Заголовок 1 2" xfId="11"/>
    <cellStyle name="Заголовок 2 2" xfId="12"/>
    <cellStyle name="Заголовок 3 2" xfId="13"/>
    <cellStyle name="Заголовок 4 2" xfId="14"/>
    <cellStyle name="Итог 2" xfId="15"/>
    <cellStyle name="Контрольная ячейка 2" xfId="16"/>
    <cellStyle name="Название 2" xfId="17"/>
    <cellStyle name="Нейтральный 2" xfId="18"/>
    <cellStyle name="Обычный" xfId="0" builtinId="0"/>
    <cellStyle name="Обычный 100" xfId="19"/>
    <cellStyle name="Обычный 107" xfId="20"/>
    <cellStyle name="Обычный 108" xfId="21"/>
    <cellStyle name="Обычный 12" xfId="22"/>
    <cellStyle name="Обычный 12 2 5" xfId="23"/>
    <cellStyle name="Обычный 2" xfId="24"/>
    <cellStyle name="Обычный 2 2" xfId="25"/>
    <cellStyle name="Обычный 2 2 19" xfId="26"/>
    <cellStyle name="Обычный 2 26 2" xfId="27"/>
    <cellStyle name="Обычный 2 3" xfId="28"/>
    <cellStyle name="Обычный 2 4" xfId="29"/>
    <cellStyle name="Обычный 3" xfId="30"/>
    <cellStyle name="Обычный 3 2" xfId="31"/>
    <cellStyle name="Обычный 3 2 2" xfId="32"/>
    <cellStyle name="Обычный 3 3" xfId="33"/>
    <cellStyle name="Обычный 3 4" xfId="34"/>
    <cellStyle name="Обычный 3 5" xfId="35"/>
    <cellStyle name="Обычный 4" xfId="36"/>
    <cellStyle name="Обычный 4 2" xfId="37"/>
    <cellStyle name="Обычный 4 2 2" xfId="38"/>
    <cellStyle name="Обычный 4 3" xfId="39"/>
    <cellStyle name="Обычный 4 4" xfId="40"/>
    <cellStyle name="Обычный 4 5" xfId="41"/>
    <cellStyle name="Обычный 5" xfId="42"/>
    <cellStyle name="Обычный 7" xfId="43"/>
    <cellStyle name="Обычный_Sheet1" xfId="44"/>
    <cellStyle name="Обычный_справочник и форма ДДС 24.08.09" xfId="45"/>
    <cellStyle name="Плохой 2" xfId="46"/>
    <cellStyle name="Пояснение 2" xfId="47"/>
    <cellStyle name="Примечание 2" xfId="48"/>
    <cellStyle name="Примечание 3 2 2 2 2 2" xfId="49"/>
    <cellStyle name="Примечание 3 2 2 2 2 2 2" xfId="50"/>
    <cellStyle name="Процентный" xfId="51" builtinId="5"/>
    <cellStyle name="Процентный 2" xfId="52"/>
    <cellStyle name="Процентный 2 2" xfId="53"/>
    <cellStyle name="Процентный 3" xfId="54"/>
    <cellStyle name="Связанная ячейка 2" xfId="55"/>
    <cellStyle name="Текст предупреждения 2" xfId="56"/>
    <cellStyle name="Финансовый 2" xfId="57"/>
    <cellStyle name="Финансовый 2 2" xfId="58"/>
    <cellStyle name="Финансовый 2 2 2" xfId="59"/>
    <cellStyle name="Финансовый 2 3" xfId="60"/>
    <cellStyle name="Финансовый 2 3 2" xfId="61"/>
    <cellStyle name="Финансовый 3" xfId="62"/>
    <cellStyle name="Финансовый 4" xfId="63"/>
    <cellStyle name="Финансовый 4 2" xfId="64"/>
    <cellStyle name="Финансовый 5" xfId="65"/>
    <cellStyle name="Финансовый 5 2" xfId="66"/>
    <cellStyle name="Хороший 2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3" Type="http://schemas.openxmlformats.org/officeDocument/2006/relationships/worksheet" Target="worksheets/sheet11.xml"/><Relationship  Id="rId11" Type="http://schemas.openxmlformats.org/officeDocument/2006/relationships/worksheet" Target="worksheets/sheet9.xml"/><Relationship  Id="rId10" Type="http://schemas.openxmlformats.org/officeDocument/2006/relationships/worksheet" Target="worksheets/sheet8.xml"/><Relationship  Id="rId15" Type="http://schemas.openxmlformats.org/officeDocument/2006/relationships/sharedStrings" Target="sharedStrings.xml"/><Relationship  Id="rId9" Type="http://schemas.openxmlformats.org/officeDocument/2006/relationships/worksheet" Target="worksheets/sheet7.xml"/><Relationship  Id="rId8" Type="http://schemas.openxmlformats.org/officeDocument/2006/relationships/worksheet" Target="worksheets/sheet6.xml"/><Relationship  Id="rId7" Type="http://schemas.openxmlformats.org/officeDocument/2006/relationships/worksheet" Target="worksheets/sheet5.xml"/><Relationship  Id="rId14" Type="http://schemas.openxmlformats.org/officeDocument/2006/relationships/theme" Target="theme/theme1.xml"/><Relationship  Id="rId6" Type="http://schemas.openxmlformats.org/officeDocument/2006/relationships/worksheet" Target="worksheets/sheet4.xml"/><Relationship  Id="rId5" Type="http://schemas.openxmlformats.org/officeDocument/2006/relationships/worksheet" Target="worksheets/sheet3.xml"/><Relationship  Id="rId16" Type="http://schemas.openxmlformats.org/officeDocument/2006/relationships/styles" Target="styles.xml"/><Relationship  Id="rId4" Type="http://schemas.openxmlformats.org/officeDocument/2006/relationships/worksheet" Target="worksheets/sheet2.xml"/><Relationship  Id="rId12" Type="http://schemas.openxmlformats.org/officeDocument/2006/relationships/worksheet" Target="worksheets/sheet10.xml"/><Relationship  Id="rId3" Type="http://schemas.openxmlformats.org/officeDocument/2006/relationships/worksheet" Target="worksheets/sheet1.xml"/><Relationship  Id="rId2" Type="http://schemas.openxmlformats.org/officeDocument/2006/relationships/customXml" Target="../customXml/item1.xml"/><Relationship  Id="rId1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<Relationships xmlns="http://schemas.openxmlformats.org/package/2006/relationships"><Relationship 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Степаненко Василий Евгеньеви" refreshedDate="45307.458850462965" createdVersion="6" refreshedVersion="6" minRefreshableVersion="3" recordCount="104">
  <cacheSource type="worksheet">
    <worksheetSource ref="A1:K1048576" sheet="Объемы работ"/>
  </cacheSource>
  <cacheFields count="12">
    <cacheField name="год работ" numFmtId="0">
      <sharedItems containsString="0" containsBlank="1" containsNumber="1" containsInteger="1" minValue="2024" maxValue="2024"/>
    </cacheField>
    <cacheField name="участок" numFmtId="0">
      <sharedItems containsBlank="1" count="6">
        <s v="ТК-20 - ТК-18 - ТК-17"/>
        <s v="от ТК44 до ТК45 и врезки ул. Московская 69, 64"/>
        <s v="от ТК 51 до ул. Загородная"/>
        <s v="вводы ул. Малахова"/>
        <s v="вводы ул. Советская"/>
        <m/>
      </sharedItems>
    </cacheField>
    <cacheField name="Полное наименование ТМЦ" numFmtId="0">
      <sharedItems containsBlank="1" count="63">
        <s v="Труба Ст 219х6-1-ППУ-ПЭ/315 # Труба ГОСТ 10705 /Ст 20"/>
        <s v="Труба Ст 108х4,5-1-ППУ-ПЭ/180 # Труба ГОСТ 10705 /Ст 20"/>
        <s v="Труба Ст 89х4-1-ППУ-ПЭ/160 # Труба ГОСТ 10705 /Ст 20"/>
        <s v="Труба Ст 76х4-1-ППУ-ПЭ/140 # Труба ГОСТ 10705 /Ст 20"/>
        <s v="Отвод Ст 219х6(8)-90-1-ППУ-ПЭ /315 L=1000/1000 ГОСТ 10705 /Ст 20, отвод ГОСТ 17375 /Ст 20"/>
        <s v="Отвод Ст 219х6(8)-45-1-ППУ-ПЭ/315, ГОСТ 17375/СТ 20"/>
        <s v="Отвод Ст 108х4,5(6)-90-2-ППУ-ОЦ /200 L=1000/1000 # Труба 108х4,5 ГОСТ 10705 /Ст 20, отвод ГОСТ 17375 /Ст 20"/>
        <s v="Отвод Ст 108х4,5(6)-90-2-ППУ-ПЭ /200 L=1000/1000 # Труба 108х4,5 ГОСТ 10705 /Ст 20, отвод ГОСТ 17375 /Ст 20"/>
        <s v="Отвод Ст 89х4,5(6)-90-2-ППУ-ОЦ /200 L=1000/1000 # Труба 89х4,5 ГОСТ 10705 /Ст 20, отвод ГОСТ 17375 /Ст 20"/>
        <s v="Отвод Ст 89х4,5(6)-90-2-ППУ-ПЭ /200 L=1000/1000 # Труба 89х4,5 ГОСТ 10705 /Ст 20, отвод ГОСТ 17375 /Ст20"/>
        <s v="Отвод Ст 76х4(5)-90-2-ППУ-ОЦ /140 L=1000/1000 # Труба 76х4 ГОСТ 10705 /Ст 20, отвод ГОСТ 17375 /Ст 20"/>
        <s v="Отвод Ст 76х4(5)-90-2-ППУ-ПЭ /140 L=1000/1000 # Труба 76х4 ГОСТ 10705 /Ст 20, отвод ГОСТ 17375 /Ст 20"/>
        <s v="Отвод Ст 57х4(5)-90-2-ППУ-ОЦ /125 L=1000/1000 # Труба 57х4 ГОСТ 10705 /Ст 20, отвод ГОСТ 17375 /Ст 20"/>
        <s v="Отвод Ст 57х4(5)-90-2-ППУ-ПЭ /125 L=1000/1000 # Труба 57х4 ГОСТ 10705 /Ст 20, отвод ГОСТ 17375 /Ст 20"/>
        <s v="Переход Ст 57х3,5-45х3,5-1-ППУ-ПЭ /125 /125 L=1500 # Труба 57 ГОСТ 10705 /Ст 20, труба 45 ГОСТ 8732 /Ст 20, переход 57х4-45х4 ГОСТ 17378 /Ст 20"/>
        <s v="Тройник  Ст 219х6-108х5-1-ППУ-ПЭ  /Ст 20"/>
        <s v="Тройник  Ст 219х6-89х4,5-1-ППУ-ПЭ  /Ст 20"/>
        <s v="Тройник  Ст 219х6-76х4,5-1-ППУ-ПЭ  /Ст 20"/>
        <s v="Тройник  Ст 219х6-57х4-1-ППУ-ПЭ  /Ст 20"/>
        <s v="Тройник  Ст 108х5-57х4-1-ППУ-ПЭ  /Ст 20"/>
        <s v="шаровый кран ДУ 200"/>
        <s v="шаровый кран ДУ 100"/>
        <s v="шаровый кран ДУ 80"/>
        <s v="шаровый кран ДУ 65"/>
        <s v="шаровый кран ДУ 50"/>
        <s v="шаровый кран ДУ 40"/>
        <s v="КЗС(Ц) 219/315 (состав комплекта: компонент, термоклей, пробки, стойки, гильза обжимная, припой, заклепки, латка оцинкованная, муфта ОЦ 315x0,55-625)"/>
        <s v="КЗС(Т) 219/315 (состав комплекта: компонент, термоклей, термолента, замк.пласт., пробки, стойки, гильза обжимная, припой, муфта термоусаживаемая  315x600"/>
        <s v="КЗС(Ц) 108/200 (состав комплекта: компонент, термоклей, пробки, стойки, гильза обжимная, припой, заклепки, латка оцинкованная, муфта ОЦ 200x0,55-625)"/>
        <s v="КЗС(Т) 108/180 (состав комплекта: компонент,термоклей,термолента, замк.пласт., пробки, стойки, гильза обжимная, припой, муфта термоусаживаемая  180x600)"/>
        <s v="КЗС(Ц) 89/160 (состав комплекта: компонент, термоклей, пробки, стойки, гильза обжимная, припой, заклепки, латка оцинкованная, муфта ОЦ 160x0,55-625)"/>
        <s v="КЗС(Т) 89/160 (состав комплекта: компонент,термоклей,термолента, замк.пласт., пробки, стойки, гильза обжимная, припой, муфта термоусаживаемая  160x600)"/>
        <s v="КЗС(Ц) 76/140 (состав комплекта: компонент, термоклей, пробки, стойки, гильза обжимная, припой, заклепки, латка оцинкованная, муфта ОЦ  140x0,55-600)"/>
        <s v="КЗС(Т) 76/140 (состав комплекта: компонент,термоклей,термолента, замк.пласт., пробки, стойки, гильза обжимная, припой, муфта термоусаживаемая  140x600)"/>
        <s v="КЗС(Ц) 57/125 (состав комплекта: компонент, термоклей, пробки, стойки, гильза обжимная, припой, заклепки, латка оцинкованная, муфта ОЦ 125x0,55-600)"/>
        <s v="КЗС(Т) 57/125 (состав комплекта: компонент,термоклей,термолента, замк.пласт., пробки, стойки, гильза обжимная, припой, муфта термоусаживаемая  125x600)"/>
        <s v="КЗС(Ц) 45/125 (состав комплекта: компонент, термоклей, пробки, стойки, гильза обжимная, припой, заклепки, латка оцинкованная, муфта ОЦ 125x0,55-600)"/>
        <s v="Кислород газ технический 40х150 атм"/>
        <s v="Смесь пропан-бутан технический"/>
        <s v="Электроды"/>
        <s v="проволока сварочная"/>
        <s v="Круг отрезной по металлу 230х2,0х22"/>
        <s v="Песок"/>
        <s v="Мастика резинобитумная  "/>
        <s v="Труба Ст 133х5-1-ППУ-ПЭ/225 # Труба ГОСТ 10705/Ст 20"/>
        <s v="Отвод Ст 133х5(6)-90-1-ППУ-ПЭ /225 L=1000/1000 # Труба 133х5 ГОСТ 10705 /Ст 20, отвод ГОСТ 17375 /Ст 20"/>
        <s v="КЗС(Т) 133/225 (состав комплекта: компонент,термоклей,термолента, замк.пласт., пробки, стойки, гильза обжимная, припой, муфта термоусаживаемая  225x600)"/>
        <s v="Труба Ст 57х3,5-1-ППУ-ОЦ/140 # Труба ГОСТ 10705 /Ст 20"/>
        <s v="Труба Ст 57х3-1-ППУ-ПЭ/125 # Труба ГОСТ 10705/Ст20"/>
        <s v="Труба Ст 45х3,5-1-ППУ-ПЭ/125 # Труба ГОСТ 10705 /Ст 20"/>
        <s v="Отвод Ст 45х3(3)-90-1-ППУ-ОЦ/125 #Труба 45х3 ГОСТ 8734/Ст 20"/>
        <s v="Отвод Ст 45х3,5(4)-90-2-ППУ-ПЭ /125 L=1000/1000 # Труба 45х4 ГОСТ 10705 /Ст 20, отвод ГОСТ 17375 /Ст 20"/>
        <s v="КЗС(Т) 45/125 (состав комплекта: компонент,термоклей,термолента, замк.пласт., пробки, стойки, гильза обжимная, припой, муфта термоусаживаемая  125x600)"/>
        <s v="Переход Ст 57х4-32х4-1-ППУ-ПЭ /125 /110 L=1500 # Труба 57 ГОСТ 10705 /Ст 20, труба 45 ГОСТ 8732 /Ст 20, переход 57х4-32х4 ГОСТ 17378 /Ст 20"/>
        <s v="Тройник  Ст 57х4-57х4-1-ППУ-ПЭ  /Ст 20"/>
        <s v="Тройниковое ответвление Ст 57х4-57х4-1-ППУ-ПЭ  /Ст 20"/>
        <m/>
        <s v="Смесь пропан-бутана" u="1"/>
        <s v="нет в закупе" u="1"/>
        <s v="круг отрезной 230х2мм" u="1"/>
        <s v="газ технический" u="1"/>
        <s v="нет в закупе есть на остатках" u="1"/>
        <s v="нет в закупе НА СКЛАДЕ ВСЕГО 142 МЕТРА ОБЩЕЕ 404 МЕТРА" u="1"/>
      </sharedItems>
    </cacheField>
    <cacheField name="материалы" numFmtId="0">
      <sharedItems containsBlank="1" count="11">
        <s v="Трубная продукция"/>
        <s v="Отводы"/>
        <s v="Переходы"/>
        <s v="Тройники"/>
        <s v="Запорная арматура"/>
        <s v="КЗС"/>
        <s v="Расходные материалы"/>
        <s v="Тройниковое ответвление"/>
        <m/>
        <s v="шар кран" u="1"/>
        <s v="труба" u="1"/>
      </sharedItems>
    </cacheField>
    <cacheField name="вид материала" numFmtId="0">
      <sharedItems containsBlank="1" containsMixedTypes="1" containsNumber="1" containsInteger="1" minValue="40" maxValue="219"/>
    </cacheField>
    <cacheField name="диаметр оболочки" numFmtId="0">
      <sharedItems containsBlank="1" containsMixedTypes="1" containsNumber="1" containsInteger="1" minValue="125" maxValue="315"/>
    </cacheField>
    <cacheField name="удалить" numFmtId="0">
      <sharedItems containsBlank="1"/>
    </cacheField>
    <cacheField name="ед.изм." numFmtId="0">
      <sharedItems containsBlank="1" count="9">
        <s v="м.п."/>
        <s v="шт."/>
        <s v="бал"/>
        <s v="бал(50л)"/>
        <s v="кг."/>
        <s v="пач."/>
        <s v="тн."/>
        <s v="кг"/>
        <m/>
      </sharedItems>
    </cacheField>
    <cacheField name="количество" numFmtId="4">
      <sharedItems containsString="0" containsBlank="1" containsNumber="1" containsInteger="1" minValue="1" maxValue="596"/>
    </cacheField>
    <cacheField name="цена на 2024г. Без НДС" numFmtId="4">
      <sharedItems containsString="0" containsBlank="1" containsNumber="1" minValue="178.08" maxValue="30916.666666666668" count="45">
        <n v="4513.833333333334"/>
        <n v="1612.966666666667"/>
        <n v="1431"/>
        <n v="1083.8500000000001"/>
        <n v="8391.666666666668"/>
        <n v="2650"/>
        <n v="2208.3333333333335"/>
        <n v="1766.6666666666667"/>
        <n v="1545.8333333333335"/>
        <n v="2120"/>
        <n v="14133.333333333334"/>
        <n v="13250"/>
        <n v="7066.666666666667"/>
        <n v="30916.666666666668"/>
        <n v="17666.666666666668"/>
        <n v="15016.666666666668"/>
        <n v="10600"/>
        <n v="8833.333333333334"/>
        <n v="1913.3000000000002"/>
        <n v="1506.966666666667"/>
        <n v="1217.2333333333336"/>
        <n v="685.4666666666668"/>
        <n v="1114.7666666666669"/>
        <n v="619.2166666666668"/>
        <n v="1040.5666666666668"/>
        <n v="570.6333333333334"/>
        <n v="507.9166666666667"/>
        <n v="914.25"/>
        <n v="233.20000000000002"/>
        <n v="1219"/>
        <n v="368.41360000000003"/>
        <n v="14289.86"/>
        <n v="178.08"/>
        <n v="201.4"/>
        <n v="307.40000000000003"/>
        <n v="2140.316666666667"/>
        <n v="4063.3333333333335"/>
        <n v="951.35"/>
        <n v="1227.8333333333335"/>
        <n v="955.7666666666668"/>
        <n v="905.4166666666667"/>
        <n v="1457.5"/>
        <n v="1943.3333333333335"/>
        <n v="5300"/>
        <m/>
      </sharedItems>
    </cacheField>
    <cacheField name="Сумма Без НДС" numFmtId="4">
      <sharedItems containsString="0" containsBlank="1" containsNumber="1" minValue="466.40000000000003" maxValue="2690244.666666667"/>
    </cacheField>
    <cacheField name="примечание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4">
  <r>
    <n v="2024"/>
    <x v="0"/>
    <x v="0"/>
    <x v="0"/>
    <n v="219"/>
    <n v="315"/>
    <s v="ППУ ПЭ"/>
    <x v="0"/>
    <n v="596"/>
    <x v="0"/>
    <n v="2690244.666666667"/>
    <m/>
  </r>
  <r>
    <n v="2024"/>
    <x v="0"/>
    <x v="1"/>
    <x v="0"/>
    <n v="108"/>
    <n v="180"/>
    <s v="ППУ ПЭ"/>
    <x v="0"/>
    <n v="206"/>
    <x v="1"/>
    <n v="332271.13333333336"/>
    <m/>
  </r>
  <r>
    <n v="2024"/>
    <x v="0"/>
    <x v="2"/>
    <x v="0"/>
    <n v="89"/>
    <n v="160"/>
    <s v="ППУ ПЭ"/>
    <x v="0"/>
    <n v="10"/>
    <x v="2"/>
    <n v="14310"/>
    <m/>
  </r>
  <r>
    <n v="2024"/>
    <x v="0"/>
    <x v="3"/>
    <x v="0"/>
    <n v="76"/>
    <n v="140"/>
    <s v="ППУ ПЭ"/>
    <x v="0"/>
    <n v="198"/>
    <x v="3"/>
    <n v="214602.30000000002"/>
    <m/>
  </r>
  <r>
    <n v="2024"/>
    <x v="0"/>
    <x v="4"/>
    <x v="1"/>
    <n v="219"/>
    <n v="315"/>
    <s v="ППУ ОЦ"/>
    <x v="1"/>
    <n v="10"/>
    <x v="4"/>
    <n v="83916.66666666669"/>
    <m/>
  </r>
  <r>
    <n v="2024"/>
    <x v="0"/>
    <x v="4"/>
    <x v="1"/>
    <n v="219"/>
    <n v="315"/>
    <s v="ППУ ПЭ"/>
    <x v="1"/>
    <n v="40"/>
    <x v="4"/>
    <n v="335666.66666666674"/>
    <m/>
  </r>
  <r>
    <n v="2024"/>
    <x v="0"/>
    <x v="5"/>
    <x v="1"/>
    <s v="219 (45º)"/>
    <n v="315"/>
    <s v="ППУ ПЭ"/>
    <x v="1"/>
    <n v="4"/>
    <x v="4"/>
    <n v="33566.66666666667"/>
    <m/>
  </r>
  <r>
    <n v="2024"/>
    <x v="0"/>
    <x v="6"/>
    <x v="1"/>
    <n v="108"/>
    <n v="180"/>
    <s v="ППУ ОЦ"/>
    <x v="1"/>
    <n v="28"/>
    <x v="5"/>
    <n v="74200"/>
    <m/>
  </r>
  <r>
    <n v="2024"/>
    <x v="0"/>
    <x v="7"/>
    <x v="1"/>
    <n v="108"/>
    <n v="180"/>
    <s v="ППУ ПЭ"/>
    <x v="1"/>
    <n v="34"/>
    <x v="5"/>
    <n v="90100"/>
    <m/>
  </r>
  <r>
    <n v="2024"/>
    <x v="0"/>
    <x v="8"/>
    <x v="1"/>
    <n v="89"/>
    <n v="160"/>
    <s v="ППУ ОЦ"/>
    <x v="1"/>
    <n v="6"/>
    <x v="6"/>
    <n v="13250"/>
    <m/>
  </r>
  <r>
    <n v="2024"/>
    <x v="0"/>
    <x v="9"/>
    <x v="1"/>
    <n v="89"/>
    <n v="160"/>
    <s v="ППУ ПЭ"/>
    <x v="1"/>
    <n v="6"/>
    <x v="6"/>
    <n v="13250"/>
    <m/>
  </r>
  <r>
    <n v="2024"/>
    <x v="0"/>
    <x v="10"/>
    <x v="1"/>
    <n v="76"/>
    <n v="140"/>
    <s v="ППУ ОЦ"/>
    <x v="1"/>
    <n v="20"/>
    <x v="7"/>
    <n v="35333.333333333336"/>
    <m/>
  </r>
  <r>
    <n v="2024"/>
    <x v="0"/>
    <x v="11"/>
    <x v="1"/>
    <n v="76"/>
    <n v="140"/>
    <s v="ППУ ПЭ"/>
    <x v="1"/>
    <n v="20"/>
    <x v="7"/>
    <n v="35333.333333333336"/>
    <m/>
  </r>
  <r>
    <n v="2024"/>
    <x v="0"/>
    <x v="12"/>
    <x v="1"/>
    <n v="57"/>
    <n v="125"/>
    <s v="ППУ ОЦ"/>
    <x v="1"/>
    <n v="10"/>
    <x v="8"/>
    <n v="15458.333333333336"/>
    <m/>
  </r>
  <r>
    <n v="2024"/>
    <x v="0"/>
    <x v="13"/>
    <x v="1"/>
    <n v="57"/>
    <n v="125"/>
    <s v="ППУ ПЭ"/>
    <x v="1"/>
    <n v="10"/>
    <x v="8"/>
    <n v="15458.333333333336"/>
    <m/>
  </r>
  <r>
    <n v="2024"/>
    <x v="0"/>
    <x v="14"/>
    <x v="2"/>
    <s v="57/40"/>
    <s v="125/125"/>
    <s v="ППУ ПЭ"/>
    <x v="1"/>
    <n v="4"/>
    <x v="9"/>
    <n v="8480"/>
    <m/>
  </r>
  <r>
    <n v="2024"/>
    <x v="0"/>
    <x v="15"/>
    <x v="3"/>
    <s v="219/108/219"/>
    <s v="315/180"/>
    <s v="ППУ ПЭ"/>
    <x v="1"/>
    <n v="8"/>
    <x v="10"/>
    <n v="113066.66666666667"/>
    <m/>
  </r>
  <r>
    <n v="2024"/>
    <x v="0"/>
    <x v="16"/>
    <x v="3"/>
    <s v="219/89/219"/>
    <s v="315/160"/>
    <s v="ППУ ПЭ"/>
    <x v="1"/>
    <n v="6"/>
    <x v="11"/>
    <n v="79500"/>
    <m/>
  </r>
  <r>
    <n v="2024"/>
    <x v="0"/>
    <x v="17"/>
    <x v="3"/>
    <s v="219/76/219"/>
    <s v="315/140"/>
    <s v="ППУ ПЭ"/>
    <x v="1"/>
    <n v="6"/>
    <x v="11"/>
    <n v="79500"/>
    <m/>
  </r>
  <r>
    <n v="2024"/>
    <x v="0"/>
    <x v="18"/>
    <x v="3"/>
    <s v="219/57/219"/>
    <s v="315/125"/>
    <s v="ППУ ПЭ"/>
    <x v="1"/>
    <n v="4"/>
    <x v="11"/>
    <n v="53000"/>
    <m/>
  </r>
  <r>
    <n v="2024"/>
    <x v="0"/>
    <x v="19"/>
    <x v="3"/>
    <s v="108/57/108"/>
    <s v="180/125"/>
    <s v="ППУ ПЭ"/>
    <x v="1"/>
    <n v="4"/>
    <x v="12"/>
    <n v="28266.666666666668"/>
    <m/>
  </r>
  <r>
    <n v="2024"/>
    <x v="0"/>
    <x v="20"/>
    <x v="4"/>
    <n v="200"/>
    <n v="315"/>
    <s v="шар кран"/>
    <x v="1"/>
    <n v="2"/>
    <x v="13"/>
    <n v="61833.333333333336"/>
    <m/>
  </r>
  <r>
    <n v="2024"/>
    <x v="0"/>
    <x v="21"/>
    <x v="4"/>
    <n v="100"/>
    <n v="180"/>
    <s v="шар кран"/>
    <x v="1"/>
    <n v="2"/>
    <x v="14"/>
    <n v="35333.333333333336"/>
    <m/>
  </r>
  <r>
    <n v="2024"/>
    <x v="0"/>
    <x v="22"/>
    <x v="4"/>
    <n v="80"/>
    <n v="160"/>
    <s v="шар кран"/>
    <x v="1"/>
    <n v="2"/>
    <x v="15"/>
    <n v="30033.333333333336"/>
    <m/>
  </r>
  <r>
    <n v="2024"/>
    <x v="0"/>
    <x v="23"/>
    <x v="4"/>
    <n v="65"/>
    <n v="140"/>
    <s v="шар кран"/>
    <x v="1"/>
    <n v="2"/>
    <x v="11"/>
    <n v="26500"/>
    <m/>
  </r>
  <r>
    <n v="2024"/>
    <x v="0"/>
    <x v="24"/>
    <x v="4"/>
    <n v="50"/>
    <n v="125"/>
    <s v="шар кран"/>
    <x v="1"/>
    <n v="2"/>
    <x v="16"/>
    <n v="21200"/>
    <m/>
  </r>
  <r>
    <n v="2024"/>
    <x v="0"/>
    <x v="25"/>
    <x v="4"/>
    <n v="40"/>
    <n v="125"/>
    <s v="шар кран"/>
    <x v="1"/>
    <n v="2"/>
    <x v="17"/>
    <n v="17666.666666666668"/>
    <m/>
  </r>
  <r>
    <n v="2024"/>
    <x v="0"/>
    <x v="26"/>
    <x v="5"/>
    <s v="КЗС(Ц)-219/315"/>
    <n v="315"/>
    <s v="ППУ ОЦ"/>
    <x v="1"/>
    <n v="22"/>
    <x v="18"/>
    <n v="42092.600000000006"/>
    <m/>
  </r>
  <r>
    <n v="2024"/>
    <x v="0"/>
    <x v="27"/>
    <x v="5"/>
    <s v="КЗС(Т)-219/315"/>
    <n v="315"/>
    <s v="ППУ ПЭ"/>
    <x v="1"/>
    <n v="110"/>
    <x v="19"/>
    <n v="165766.33333333337"/>
    <m/>
  </r>
  <r>
    <n v="2024"/>
    <x v="0"/>
    <x v="28"/>
    <x v="5"/>
    <s v="КЗС(Ц)-108/180"/>
    <n v="180"/>
    <s v="ППУ ОЦ"/>
    <x v="1"/>
    <n v="30"/>
    <x v="20"/>
    <n v="36517.00000000001"/>
    <m/>
  </r>
  <r>
    <n v="2024"/>
    <x v="0"/>
    <x v="29"/>
    <x v="5"/>
    <s v="КЗС(Т)-108/180"/>
    <n v="180"/>
    <s v="ППУ ПЭ"/>
    <x v="1"/>
    <n v="38"/>
    <x v="21"/>
    <n v="26047.733333333337"/>
    <m/>
  </r>
  <r>
    <n v="2024"/>
    <x v="0"/>
    <x v="30"/>
    <x v="5"/>
    <s v="КЗС(Ц)-89/160"/>
    <n v="160"/>
    <s v="ППУ ОЦ"/>
    <x v="1"/>
    <n v="14"/>
    <x v="22"/>
    <n v="15606.733333333337"/>
    <m/>
  </r>
  <r>
    <n v="2024"/>
    <x v="0"/>
    <x v="31"/>
    <x v="5"/>
    <s v="КЗС(Т)-89/160"/>
    <n v="160"/>
    <s v="ППУ ПЭ"/>
    <x v="1"/>
    <n v="16"/>
    <x v="23"/>
    <n v="9907.466666666669"/>
    <m/>
  </r>
  <r>
    <n v="2024"/>
    <x v="0"/>
    <x v="32"/>
    <x v="5"/>
    <s v="КЗС(Ц)-76/140"/>
    <n v="140"/>
    <s v="ППУ ОЦ"/>
    <x v="1"/>
    <n v="16"/>
    <x v="24"/>
    <n v="16649.06666666667"/>
    <m/>
  </r>
  <r>
    <n v="2024"/>
    <x v="0"/>
    <x v="33"/>
    <x v="5"/>
    <s v="КЗС(Т)-76/140"/>
    <n v="140"/>
    <s v="ППУ ПЭ"/>
    <x v="1"/>
    <n v="56"/>
    <x v="25"/>
    <n v="31955.466666666674"/>
    <m/>
  </r>
  <r>
    <n v="2024"/>
    <x v="0"/>
    <x v="34"/>
    <x v="5"/>
    <s v="КЗС(Ц)-57/125"/>
    <n v="125"/>
    <s v="ППУ ОЦ"/>
    <x v="1"/>
    <n v="14"/>
    <x v="24"/>
    <n v="14567.933333333336"/>
    <m/>
  </r>
  <r>
    <n v="2024"/>
    <x v="0"/>
    <x v="35"/>
    <x v="5"/>
    <s v="КЗС(Т)-57/125"/>
    <n v="125"/>
    <s v="ППУ ПЭ"/>
    <x v="1"/>
    <n v="14"/>
    <x v="26"/>
    <n v="7110.833333333334"/>
    <m/>
  </r>
  <r>
    <n v="2024"/>
    <x v="0"/>
    <x v="36"/>
    <x v="5"/>
    <s v="КЗС(Ц)-40/125"/>
    <n v="125"/>
    <s v="ППУ ОЦ"/>
    <x v="1"/>
    <n v="8"/>
    <x v="27"/>
    <n v="7314"/>
    <m/>
  </r>
  <r>
    <n v="2024"/>
    <x v="0"/>
    <x v="37"/>
    <x v="6"/>
    <s v="газ технический"/>
    <m/>
    <s v="газ технический"/>
    <x v="2"/>
    <n v="14"/>
    <x v="28"/>
    <n v="3264.8"/>
    <m/>
  </r>
  <r>
    <n v="2024"/>
    <x v="0"/>
    <x v="38"/>
    <x v="6"/>
    <s v="Смесь пропан-бутана"/>
    <m/>
    <s v="Смесь пропан-бутана"/>
    <x v="3"/>
    <n v="4"/>
    <x v="29"/>
    <n v="4876"/>
    <m/>
  </r>
  <r>
    <n v="2024"/>
    <x v="0"/>
    <x v="39"/>
    <x v="6"/>
    <s v="Электроды"/>
    <m/>
    <s v="Электроды"/>
    <x v="4"/>
    <n v="105"/>
    <x v="30"/>
    <n v="38683.428"/>
    <m/>
  </r>
  <r>
    <n v="2024"/>
    <x v="0"/>
    <x v="40"/>
    <x v="6"/>
    <s v="проволока сварочная"/>
    <m/>
    <s v="проволока сварочная"/>
    <x v="5"/>
    <n v="4"/>
    <x v="31"/>
    <n v="57159.44"/>
    <m/>
  </r>
  <r>
    <n v="2024"/>
    <x v="0"/>
    <x v="41"/>
    <x v="6"/>
    <s v="круг отрезной 230х2мм"/>
    <m/>
    <s v="круг отрезной 230х2мм"/>
    <x v="1"/>
    <n v="270"/>
    <x v="32"/>
    <n v="48081.600000000006"/>
    <m/>
  </r>
  <r>
    <n v="2024"/>
    <x v="0"/>
    <x v="42"/>
    <x v="6"/>
    <s v="Песок"/>
    <m/>
    <s v="Песок"/>
    <x v="6"/>
    <n v="90"/>
    <x v="33"/>
    <n v="18126"/>
    <m/>
  </r>
  <r>
    <n v="2024"/>
    <x v="0"/>
    <x v="43"/>
    <x v="6"/>
    <s v="Мастика резинобитумная  "/>
    <m/>
    <s v="Мастика резинобитумная"/>
    <x v="7"/>
    <n v="15"/>
    <x v="34"/>
    <n v="4611.000000000001"/>
    <m/>
  </r>
  <r>
    <n v="2024"/>
    <x v="1"/>
    <x v="0"/>
    <x v="0"/>
    <n v="219"/>
    <n v="315"/>
    <s v="ППУ ПЭ"/>
    <x v="0"/>
    <n v="240"/>
    <x v="0"/>
    <n v="1083320.0000000002"/>
    <m/>
  </r>
  <r>
    <n v="2024"/>
    <x v="1"/>
    <x v="4"/>
    <x v="1"/>
    <n v="219"/>
    <n v="315"/>
    <s v="ППУ ПЭ"/>
    <x v="1"/>
    <n v="6"/>
    <x v="4"/>
    <n v="50350.00000000001"/>
    <m/>
  </r>
  <r>
    <n v="2024"/>
    <x v="1"/>
    <x v="27"/>
    <x v="5"/>
    <s v="КЗС(Т)-219/315"/>
    <n v="315"/>
    <s v="ППУ ПЭ"/>
    <x v="1"/>
    <n v="26"/>
    <x v="19"/>
    <n v="39181.13333333334"/>
    <m/>
  </r>
  <r>
    <n v="2024"/>
    <x v="1"/>
    <x v="37"/>
    <x v="6"/>
    <s v="газ технический"/>
    <m/>
    <s v="газ технический"/>
    <x v="2"/>
    <n v="2"/>
    <x v="28"/>
    <n v="466.40000000000003"/>
    <m/>
  </r>
  <r>
    <n v="2024"/>
    <x v="1"/>
    <x v="38"/>
    <x v="6"/>
    <s v="Смесь пропан-бутана"/>
    <m/>
    <s v="Смесь пропан-бутана"/>
    <x v="3"/>
    <n v="1"/>
    <x v="29"/>
    <n v="1219"/>
    <m/>
  </r>
  <r>
    <n v="2024"/>
    <x v="1"/>
    <x v="39"/>
    <x v="6"/>
    <s v="Электроды"/>
    <m/>
    <s v="Электроды"/>
    <x v="4"/>
    <n v="45"/>
    <x v="30"/>
    <n v="16578.612"/>
    <m/>
  </r>
  <r>
    <n v="2024"/>
    <x v="1"/>
    <x v="40"/>
    <x v="6"/>
    <s v="проволока сварочная"/>
    <m/>
    <s v="проволока сварочная"/>
    <x v="5"/>
    <n v="4"/>
    <x v="31"/>
    <n v="57159.44"/>
    <m/>
  </r>
  <r>
    <n v="2024"/>
    <x v="1"/>
    <x v="41"/>
    <x v="6"/>
    <s v="круг отрезной 230х2мм"/>
    <m/>
    <s v="круг отрезной 230х2мм"/>
    <x v="1"/>
    <n v="20"/>
    <x v="32"/>
    <n v="3561.6000000000004"/>
    <m/>
  </r>
  <r>
    <n v="2024"/>
    <x v="1"/>
    <x v="42"/>
    <x v="6"/>
    <s v="Песок"/>
    <m/>
    <s v="Песок"/>
    <x v="6"/>
    <n v="22"/>
    <x v="33"/>
    <n v="4430.8"/>
    <m/>
  </r>
  <r>
    <n v="2024"/>
    <x v="1"/>
    <x v="43"/>
    <x v="6"/>
    <s v="Мастика резинобитумная  "/>
    <m/>
    <s v="Мастика резинобитумная  "/>
    <x v="7"/>
    <n v="3"/>
    <x v="34"/>
    <n v="922.2"/>
    <m/>
  </r>
  <r>
    <n v="2024"/>
    <x v="2"/>
    <x v="44"/>
    <x v="0"/>
    <n v="133"/>
    <n v="225"/>
    <s v="ППУ ПЭ"/>
    <x v="0"/>
    <n v="60"/>
    <x v="35"/>
    <n v="128419.00000000003"/>
    <m/>
  </r>
  <r>
    <n v="2024"/>
    <x v="2"/>
    <x v="45"/>
    <x v="1"/>
    <n v="133"/>
    <n v="225"/>
    <s v="ППУ ПЭ"/>
    <x v="1"/>
    <n v="4"/>
    <x v="36"/>
    <n v="16253.333333333334"/>
    <m/>
  </r>
  <r>
    <n v="2024"/>
    <x v="2"/>
    <x v="46"/>
    <x v="5"/>
    <s v="КЗС(Т)-133/225"/>
    <n v="225"/>
    <s v="ППУ ПЭ"/>
    <x v="1"/>
    <n v="14"/>
    <x v="37"/>
    <n v="13318.9"/>
    <m/>
  </r>
  <r>
    <n v="2024"/>
    <x v="2"/>
    <x v="37"/>
    <x v="6"/>
    <s v="газ технический"/>
    <m/>
    <s v="газ технический"/>
    <x v="2"/>
    <n v="2"/>
    <x v="28"/>
    <n v="466.40000000000003"/>
    <m/>
  </r>
  <r>
    <n v="2024"/>
    <x v="2"/>
    <x v="38"/>
    <x v="6"/>
    <s v="Смесь пропан-бутана"/>
    <m/>
    <s v="Смесь пропан-бутана"/>
    <x v="3"/>
    <n v="1"/>
    <x v="29"/>
    <n v="1219"/>
    <m/>
  </r>
  <r>
    <n v="2024"/>
    <x v="2"/>
    <x v="39"/>
    <x v="6"/>
    <s v="Электроды"/>
    <m/>
    <s v="Электроды"/>
    <x v="4"/>
    <n v="45"/>
    <x v="30"/>
    <n v="16578.612"/>
    <m/>
  </r>
  <r>
    <n v="2024"/>
    <x v="2"/>
    <x v="40"/>
    <x v="6"/>
    <s v="проволока сварочная"/>
    <m/>
    <s v="проволока сварочная"/>
    <x v="5"/>
    <n v="4"/>
    <x v="31"/>
    <n v="57159.44"/>
    <m/>
  </r>
  <r>
    <n v="2024"/>
    <x v="2"/>
    <x v="41"/>
    <x v="6"/>
    <s v="круг отрезной 230х2мм"/>
    <m/>
    <s v="круг отрезной 230х2мм"/>
    <x v="1"/>
    <n v="20"/>
    <x v="32"/>
    <n v="3561.6000000000004"/>
    <m/>
  </r>
  <r>
    <n v="2024"/>
    <x v="2"/>
    <x v="42"/>
    <x v="6"/>
    <s v="Песок"/>
    <m/>
    <s v="Песок"/>
    <x v="6"/>
    <n v="22"/>
    <x v="33"/>
    <n v="4430.8"/>
    <m/>
  </r>
  <r>
    <n v="2024"/>
    <x v="2"/>
    <x v="43"/>
    <x v="6"/>
    <s v="Мастика резинобитумная  "/>
    <m/>
    <s v="Мастика резинобитумная  "/>
    <x v="7"/>
    <n v="3"/>
    <x v="34"/>
    <n v="922.2"/>
    <m/>
  </r>
  <r>
    <n v="2024"/>
    <x v="3"/>
    <x v="47"/>
    <x v="0"/>
    <n v="57"/>
    <n v="125"/>
    <s v="ППУ ОЦ"/>
    <x v="0"/>
    <n v="18"/>
    <x v="38"/>
    <n v="22101.000000000004"/>
    <m/>
  </r>
  <r>
    <n v="2024"/>
    <x v="3"/>
    <x v="48"/>
    <x v="0"/>
    <n v="57"/>
    <n v="125"/>
    <s v="ППУ ПЭ"/>
    <x v="0"/>
    <n v="102"/>
    <x v="39"/>
    <n v="97488.20000000001"/>
    <m/>
  </r>
  <r>
    <n v="2024"/>
    <x v="3"/>
    <x v="49"/>
    <x v="0"/>
    <n v="40"/>
    <n v="125"/>
    <s v="ППУ ПЭ"/>
    <x v="0"/>
    <n v="89"/>
    <x v="40"/>
    <n v="80582.08333333334"/>
    <m/>
  </r>
  <r>
    <n v="2024"/>
    <x v="3"/>
    <x v="12"/>
    <x v="1"/>
    <n v="57"/>
    <n v="125"/>
    <s v="ППУ ОЦ"/>
    <x v="1"/>
    <n v="18"/>
    <x v="8"/>
    <n v="27825.000000000004"/>
    <m/>
  </r>
  <r>
    <n v="2024"/>
    <x v="3"/>
    <x v="13"/>
    <x v="1"/>
    <n v="57"/>
    <n v="125"/>
    <s v="ППУ ПЭ"/>
    <x v="1"/>
    <n v="20"/>
    <x v="8"/>
    <n v="30916.66666666667"/>
    <m/>
  </r>
  <r>
    <n v="2024"/>
    <x v="3"/>
    <x v="50"/>
    <x v="1"/>
    <n v="40"/>
    <n v="125"/>
    <s v="ППУ ОЦ"/>
    <x v="1"/>
    <n v="4"/>
    <x v="41"/>
    <n v="5830"/>
    <m/>
  </r>
  <r>
    <n v="2024"/>
    <x v="3"/>
    <x v="51"/>
    <x v="1"/>
    <n v="40"/>
    <n v="125"/>
    <s v="ППУ ПЭ"/>
    <x v="1"/>
    <n v="10"/>
    <x v="41"/>
    <n v="14575"/>
    <m/>
  </r>
  <r>
    <n v="2024"/>
    <x v="3"/>
    <x v="24"/>
    <x v="4"/>
    <n v="50"/>
    <n v="125"/>
    <s v="шар кран"/>
    <x v="1"/>
    <n v="6"/>
    <x v="16"/>
    <n v="63600"/>
    <m/>
  </r>
  <r>
    <n v="2024"/>
    <x v="3"/>
    <x v="25"/>
    <x v="4"/>
    <n v="40"/>
    <n v="125"/>
    <s v="шар кран"/>
    <x v="1"/>
    <n v="4"/>
    <x v="17"/>
    <n v="35333.333333333336"/>
    <m/>
  </r>
  <r>
    <n v="2024"/>
    <x v="3"/>
    <x v="34"/>
    <x v="5"/>
    <s v="КЗС(Ц)-57/125"/>
    <n v="125"/>
    <s v="ППУ ОЦ"/>
    <x v="1"/>
    <n v="40"/>
    <x v="24"/>
    <n v="41622.66666666667"/>
    <m/>
  </r>
  <r>
    <n v="2024"/>
    <x v="3"/>
    <x v="35"/>
    <x v="5"/>
    <s v="КЗС(Т)-57/125"/>
    <n v="125"/>
    <s v="ППУ ПЭ"/>
    <x v="1"/>
    <n v="52"/>
    <x v="26"/>
    <n v="26411.666666666668"/>
    <m/>
  </r>
  <r>
    <n v="2024"/>
    <x v="3"/>
    <x v="36"/>
    <x v="5"/>
    <s v="КЗС(Ц)-40/125"/>
    <n v="125"/>
    <s v="ППУ ОЦ"/>
    <x v="1"/>
    <n v="16"/>
    <x v="27"/>
    <n v="14628"/>
    <m/>
  </r>
  <r>
    <n v="2024"/>
    <x v="3"/>
    <x v="52"/>
    <x v="5"/>
    <s v="КЗС(Т)-40/125"/>
    <n v="125"/>
    <s v="ППУ ПЭ"/>
    <x v="1"/>
    <n v="32"/>
    <x v="26"/>
    <n v="16253.333333333334"/>
    <m/>
  </r>
  <r>
    <n v="2024"/>
    <x v="3"/>
    <x v="37"/>
    <x v="6"/>
    <s v="газ технический"/>
    <m/>
    <s v="газ технический"/>
    <x v="2"/>
    <n v="4"/>
    <x v="28"/>
    <n v="932.8000000000001"/>
    <m/>
  </r>
  <r>
    <n v="2024"/>
    <x v="3"/>
    <x v="38"/>
    <x v="6"/>
    <s v="Смесь пропан-бутана"/>
    <m/>
    <s v="Смесь пропан-бутана"/>
    <x v="3"/>
    <n v="1"/>
    <x v="29"/>
    <n v="1219"/>
    <m/>
  </r>
  <r>
    <n v="2024"/>
    <x v="3"/>
    <x v="39"/>
    <x v="6"/>
    <s v="Электроды"/>
    <m/>
    <s v="Электроды"/>
    <x v="4"/>
    <n v="30"/>
    <x v="30"/>
    <n v="11052.408000000001"/>
    <m/>
  </r>
  <r>
    <n v="2024"/>
    <x v="3"/>
    <x v="40"/>
    <x v="6"/>
    <s v="проволока сварочная"/>
    <m/>
    <s v="проволока сварочная"/>
    <x v="5"/>
    <n v="1"/>
    <x v="31"/>
    <n v="14289.86"/>
    <m/>
  </r>
  <r>
    <n v="2024"/>
    <x v="3"/>
    <x v="41"/>
    <x v="6"/>
    <s v="круг отрезной 230х2мм"/>
    <m/>
    <s v="круг отрезной 230х2мм"/>
    <x v="1"/>
    <n v="128"/>
    <x v="32"/>
    <n v="22794.24"/>
    <m/>
  </r>
  <r>
    <n v="2024"/>
    <x v="3"/>
    <x v="42"/>
    <x v="6"/>
    <s v="Песок"/>
    <m/>
    <s v="Песок"/>
    <x v="6"/>
    <n v="26"/>
    <x v="33"/>
    <n v="5236.400000000001"/>
    <m/>
  </r>
  <r>
    <n v="2024"/>
    <x v="3"/>
    <x v="43"/>
    <x v="6"/>
    <s v="Мастика резинобитумная  "/>
    <m/>
    <s v="Мастика резинобитумная  "/>
    <x v="7"/>
    <n v="6"/>
    <x v="34"/>
    <n v="1844.4"/>
    <m/>
  </r>
  <r>
    <n v="2024"/>
    <x v="4"/>
    <x v="47"/>
    <x v="0"/>
    <n v="57"/>
    <n v="125"/>
    <s v="ППУ ОЦ"/>
    <x v="0"/>
    <n v="6"/>
    <x v="38"/>
    <n v="7367.000000000001"/>
    <m/>
  </r>
  <r>
    <n v="2024"/>
    <x v="4"/>
    <x v="48"/>
    <x v="0"/>
    <n v="57"/>
    <n v="125"/>
    <s v="ППУ ПЭ"/>
    <x v="0"/>
    <n v="302"/>
    <x v="39"/>
    <n v="288641.5333333334"/>
    <m/>
  </r>
  <r>
    <n v="2024"/>
    <x v="4"/>
    <x v="12"/>
    <x v="1"/>
    <n v="57"/>
    <n v="125"/>
    <s v="ППУ ОЦ"/>
    <x v="1"/>
    <n v="16"/>
    <x v="8"/>
    <n v="24733.333333333336"/>
    <m/>
  </r>
  <r>
    <n v="2024"/>
    <x v="4"/>
    <x v="13"/>
    <x v="1"/>
    <n v="57"/>
    <n v="125"/>
    <s v="ППУ ПЭ"/>
    <x v="1"/>
    <n v="40"/>
    <x v="8"/>
    <n v="61833.33333333334"/>
    <m/>
  </r>
  <r>
    <n v="2024"/>
    <x v="4"/>
    <x v="14"/>
    <x v="2"/>
    <s v="57/40"/>
    <s v="125/125"/>
    <s v="ППУ ПЭ"/>
    <x v="1"/>
    <n v="2"/>
    <x v="9"/>
    <n v="4240"/>
    <m/>
  </r>
  <r>
    <n v="2024"/>
    <x v="4"/>
    <x v="53"/>
    <x v="2"/>
    <s v="57/32"/>
    <s v="125/90"/>
    <s v="ППУ ПЭ"/>
    <x v="1"/>
    <n v="2"/>
    <x v="42"/>
    <n v="3886.666666666667"/>
    <m/>
  </r>
  <r>
    <n v="2024"/>
    <x v="4"/>
    <x v="24"/>
    <x v="4"/>
    <n v="50"/>
    <n v="125"/>
    <s v="шар кран"/>
    <x v="1"/>
    <n v="14"/>
    <x v="16"/>
    <n v="148400"/>
    <m/>
  </r>
  <r>
    <n v="2024"/>
    <x v="4"/>
    <x v="54"/>
    <x v="3"/>
    <s v="57/57/57"/>
    <s v="125/125"/>
    <s v="ППУ ПЭ"/>
    <x v="1"/>
    <n v="1"/>
    <x v="43"/>
    <n v="5300"/>
    <m/>
  </r>
  <r>
    <n v="2024"/>
    <x v="4"/>
    <x v="55"/>
    <x v="7"/>
    <s v="57/57/57"/>
    <s v="125/125"/>
    <s v="ППУ ПЭ"/>
    <x v="1"/>
    <n v="1"/>
    <x v="43"/>
    <n v="5300"/>
    <m/>
  </r>
  <r>
    <n v="2024"/>
    <x v="4"/>
    <x v="34"/>
    <x v="5"/>
    <s v="КЗС(Ц)-57/125"/>
    <n v="125"/>
    <s v="ППУ ОЦ"/>
    <x v="1"/>
    <n v="36"/>
    <x v="24"/>
    <n v="37460.40000000001"/>
    <m/>
  </r>
  <r>
    <n v="2024"/>
    <x v="4"/>
    <x v="35"/>
    <x v="5"/>
    <s v="КЗС(Т)-57/125"/>
    <n v="125"/>
    <s v="ППУ ПЭ"/>
    <x v="1"/>
    <n v="112"/>
    <x v="26"/>
    <n v="56886.66666666667"/>
    <m/>
  </r>
  <r>
    <n v="2024"/>
    <x v="4"/>
    <x v="37"/>
    <x v="6"/>
    <s v="газ технический"/>
    <m/>
    <s v="газ технический"/>
    <x v="2"/>
    <n v="4"/>
    <x v="28"/>
    <n v="932.8000000000001"/>
    <m/>
  </r>
  <r>
    <n v="2024"/>
    <x v="4"/>
    <x v="38"/>
    <x v="6"/>
    <s v="Смесь пропан-бутана"/>
    <m/>
    <s v="Смесь пропан-бутана"/>
    <x v="3"/>
    <n v="1"/>
    <x v="29"/>
    <n v="1219"/>
    <m/>
  </r>
  <r>
    <n v="2024"/>
    <x v="4"/>
    <x v="39"/>
    <x v="6"/>
    <s v="Электроды"/>
    <m/>
    <s v="Электроды"/>
    <x v="4"/>
    <n v="35"/>
    <x v="30"/>
    <n v="12894.476"/>
    <m/>
  </r>
  <r>
    <n v="2024"/>
    <x v="4"/>
    <x v="40"/>
    <x v="6"/>
    <s v="проволока сварочная"/>
    <m/>
    <s v="проволока сварочная"/>
    <x v="5"/>
    <n v="1"/>
    <x v="31"/>
    <n v="14289.86"/>
    <m/>
  </r>
  <r>
    <n v="2024"/>
    <x v="4"/>
    <x v="41"/>
    <x v="6"/>
    <s v="круг отрезной 230х2мм"/>
    <m/>
    <s v="круг отрезной 230х2мм"/>
    <x v="1"/>
    <n v="106"/>
    <x v="32"/>
    <n v="18876.48"/>
    <m/>
  </r>
  <r>
    <n v="2024"/>
    <x v="4"/>
    <x v="42"/>
    <x v="6"/>
    <s v="Песок"/>
    <m/>
    <s v="Песок"/>
    <x v="6"/>
    <n v="25"/>
    <x v="33"/>
    <n v="5035"/>
    <m/>
  </r>
  <r>
    <n v="2024"/>
    <x v="4"/>
    <x v="43"/>
    <x v="6"/>
    <s v="Мастика резинобитумная  "/>
    <m/>
    <s v="Мастика резинобитумная  "/>
    <x v="7"/>
    <n v="5"/>
    <x v="34"/>
    <n v="1537.0000000000002"/>
    <m/>
  </r>
  <r>
    <m/>
    <x v="5"/>
    <x v="56"/>
    <x v="8"/>
    <m/>
    <m/>
    <m/>
    <x v="8"/>
    <m/>
    <x v="44"/>
    <m/>
    <m/>
  </r>
</pivotCacheRecords>
</file>

<file path=xl/pivotTables/_rels/pivotTable1.xml.rels><?xml version="1.0" encoding="UTF-8" standalone="yes"?><Relationships xmlns="http://schemas.openxmlformats.org/package/2006/relationships"><Relationship 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r="http://schemas.openxmlformats.org/officeDocument/2006/relationships" name="Сводная таблица1" cacheId="0" applyNumberFormats="0" applyBorderFormats="0" applyFontFormats="0" applyPatternFormats="0" applyAlignmentFormats="0" applyWidthHeightFormats="1" dataCaption="Значения" updatedVersion="6" minRefreshableVersion="3" showDrill="0" useAutoFormatting="1" itemPrintTitles="1" createdVersion="6" indent="0" outline="1" outlineData="1" multipleFieldFilters="0">
  <location ref="A3:K11" firstHeaderRow="1" firstDataRow="2" firstDataCol="1"/>
  <pivotFields count="12">
    <pivotField showAll="0"/>
    <pivotField axis="axisRow" showAll="0">
      <items count="7">
        <item x="3"/>
        <item x="4"/>
        <item x="1"/>
        <item x="0"/>
        <item x="5"/>
        <item x="2"/>
        <item t="default"/>
      </items>
    </pivotField>
    <pivotField outline="0" showAll="0" defaultSubtotal="0">
      <items count="63">
        <item m="1" x="60"/>
        <item x="29"/>
        <item x="46"/>
        <item x="27"/>
        <item x="52"/>
        <item x="35"/>
        <item x="33"/>
        <item x="31"/>
        <item x="28"/>
        <item x="26"/>
        <item x="36"/>
        <item x="34"/>
        <item x="32"/>
        <item x="30"/>
        <item m="1" x="59"/>
        <item x="43"/>
        <item m="1" x="58"/>
        <item x="6"/>
        <item x="7"/>
        <item x="45"/>
        <item x="4"/>
        <item x="51"/>
        <item x="12"/>
        <item x="13"/>
        <item x="10"/>
        <item x="11"/>
        <item x="8"/>
        <item x="9"/>
        <item x="14"/>
        <item x="53"/>
        <item x="42"/>
        <item x="40"/>
        <item m="1" x="57"/>
        <item x="19"/>
        <item x="15"/>
        <item x="18"/>
        <item x="17"/>
        <item x="16"/>
        <item x="54"/>
        <item x="55"/>
        <item x="1"/>
        <item x="0"/>
        <item x="49"/>
        <item x="47"/>
        <item x="3"/>
        <item x="2"/>
        <item x="21"/>
        <item x="20"/>
        <item x="25"/>
        <item x="24"/>
        <item x="23"/>
        <item x="22"/>
        <item x="39"/>
        <item x="56"/>
        <item m="1" x="61"/>
        <item m="1" x="62"/>
        <item x="5"/>
        <item x="37"/>
        <item x="38"/>
        <item x="41"/>
        <item x="44"/>
        <item x="48"/>
        <item x="50"/>
      </items>
    </pivotField>
    <pivotField axis="axisCol" showAll="0">
      <items count="12">
        <item x="5"/>
        <item x="1"/>
        <item x="2"/>
        <item x="6"/>
        <item x="3"/>
        <item x="7"/>
        <item m="1" x="10"/>
        <item m="1" x="9"/>
        <item x="8"/>
        <item x="0"/>
        <item x="4"/>
        <item t="default"/>
      </items>
    </pivotField>
    <pivotField showAll="0"/>
    <pivotField showAll="0"/>
    <pivotField showAll="0"/>
    <pivotField outline="0" showAll="0" defaultSubtotal="0">
      <items count="9">
        <item x="2"/>
        <item x="3"/>
        <item x="7"/>
        <item x="4"/>
        <item x="0"/>
        <item x="5"/>
        <item x="6"/>
        <item x="1"/>
        <item x="8"/>
      </items>
    </pivotField>
    <pivotField showAll="0"/>
    <pivotField outline="0" showAll="0" defaultSubtotal="0">
      <items count="45">
        <item x="32"/>
        <item x="33"/>
        <item x="28"/>
        <item x="34"/>
        <item x="30"/>
        <item x="26"/>
        <item x="25"/>
        <item x="23"/>
        <item x="21"/>
        <item x="40"/>
        <item x="27"/>
        <item x="37"/>
        <item x="39"/>
        <item x="24"/>
        <item x="3"/>
        <item x="22"/>
        <item x="20"/>
        <item x="29"/>
        <item x="38"/>
        <item x="2"/>
        <item x="41"/>
        <item x="19"/>
        <item x="8"/>
        <item x="1"/>
        <item x="7"/>
        <item x="18"/>
        <item x="42"/>
        <item x="9"/>
        <item x="35"/>
        <item x="6"/>
        <item x="5"/>
        <item x="36"/>
        <item x="0"/>
        <item x="43"/>
        <item x="12"/>
        <item x="4"/>
        <item x="17"/>
        <item x="16"/>
        <item x="11"/>
        <item x="10"/>
        <item x="31"/>
        <item x="15"/>
        <item x="14"/>
        <item x="13"/>
        <item x="44"/>
      </items>
    </pivotField>
    <pivotField dataField="1" outline="0" showAll="0" defaultSubtotal="0"/>
    <pivotField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10">
    <i>
      <x/>
    </i>
    <i>
      <x v="1"/>
    </i>
    <i>
      <x v="2"/>
    </i>
    <i>
      <x v="3"/>
    </i>
    <i>
      <x v="4"/>
    </i>
    <i>
      <x v="5"/>
    </i>
    <i>
      <x v="8"/>
    </i>
    <i>
      <x v="9"/>
    </i>
    <i>
      <x v="10"/>
    </i>
    <i t="grand">
      <x/>
    </i>
  </colItems>
  <dataFields count="1">
    <dataField name="Сумма по полю Сумма Без НДС" fld="10" baseField="0" baseItem="0" numFmtId="1"/>
  </dataFields>
  <formats count="20">
    <format>
      <pivotArea field="7" type="button" dataOnly="0" labelOnly="1" outline="0"/>
    </format>
    <format>
      <pivotArea field="9" type="button" dataOnly="0" labelOnly="1" outline="0"/>
    </format>
    <format>
      <pivotArea field="1" type="button" dataOnly="0" labelOnly="1" outline="0" axis="axisRow" fieldPosition="0"/>
    </format>
    <format>
      <pivotArea field="2" type="button" dataOnly="0" labelOnly="1" outline="0"/>
    </format>
    <format>
      <pivotArea dataOnly="0" labelOnly="1" grandRow="1" outline="0" fieldPosition="0"/>
    </format>
    <format>
      <pivotArea field="2" type="button" dataOnly="0" labelOnly="1" outline="0"/>
    </format>
    <format>
      <pivotArea field="7" type="button" dataOnly="0" labelOnly="1" outline="0"/>
    </format>
    <format>
      <pivotArea field="9" type="button" dataOnly="0" labelOnly="1" outline="0"/>
    </format>
    <format>
      <pivotArea field="2" type="button" dataOnly="0" labelOnly="1" outline="0"/>
    </format>
    <format>
      <pivotArea field="7" type="button" dataOnly="0" labelOnly="1" outline="0"/>
    </format>
    <format>
      <pivotArea field="9" type="button" dataOnly="0" labelOnly="1" outline="0"/>
    </format>
    <format>
      <pivotArea type="origin" dataOnly="0" labelOnly="1" outline="0" fieldPosition="0"/>
    </format>
    <format>
      <pivotArea field="1" type="button" dataOnly="0" labelOnly="1" outline="0" axis="axisRow" fieldPosition="0"/>
    </format>
    <format>
      <pivotArea field="-2" type="button" dataOnly="0" labelOnly="1" outline="0" axis="axisValues" fieldPosition="0"/>
    </format>
    <format>
      <pivotArea dataOnly="0" labelOnly="1" outline="0" fieldPosition="0"/>
    </format>
    <format>
      <pivotArea field="2" type="button" dataOnly="0" labelOnly="1" outline="0"/>
    </format>
    <format>
      <pivotArea field="7" type="button" dataOnly="0" labelOnly="1" outline="0"/>
    </format>
    <format>
      <pivotArea field="9" type="button" dataOnly="0" labelOnly="1" outline="0"/>
    </format>
    <format>
      <pivotArea dataOnly="0" outline="0" axis="axisValues" fieldPosition="0"/>
    </format>
    <format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1.xml.rels><?xml version="1.0" encoding="UTF-8" standalone="yes"?><Relationships xmlns="http://schemas.openxmlformats.org/package/2006/relationships"><Relationship  Id="rId60" Type="http://schemas.openxmlformats.org/officeDocument/2006/relationships/hyperlink" Target="https://saverhot.ru/catalog/komplektuyushchie/komplekty_izolyatsii_stykov_ppu_ots/315317/" TargetMode="External"/><Relationship  Id="rId59" Type="http://schemas.openxmlformats.org/officeDocument/2006/relationships/hyperlink" Target="https://saverhot.ru/catalog/komplektuyushchie/komplekty_izolyatsii_stykov_ppu_pe/315236/" TargetMode="External"/><Relationship  Id="rId63" Type="http://schemas.openxmlformats.org/officeDocument/2006/relationships/hyperlink" Target="https://saverhot.ru/catalog/komplektuyushchie/komplekty_izolyatsii_stykov_ppu_pe/315230/" TargetMode="External"/><Relationship  Id="rId57" Type="http://schemas.openxmlformats.org/officeDocument/2006/relationships/hyperlink" Target="https://saverhot.ru/catalog/komplektuyushchie/komplekty_izolyatsii_stykov_ppu_pe/315239/" TargetMode="External"/><Relationship  Id="rId56" Type="http://schemas.openxmlformats.org/officeDocument/2006/relationships/hyperlink" Target="https://saverhot.ru/catalog/komplektuyushchie/komplekty_izolyatsii_stykov_ppu_ots/315321/" TargetMode="External"/><Relationship  Id="rId51" Type="http://schemas.openxmlformats.org/officeDocument/2006/relationships/hyperlink" Target="https://saverhot.ru/catalog/komplektuyushchie/komplekty_izolyatsii_stykov_ppu_pe/315282/" TargetMode="External"/><Relationship  Id="rId55" Type="http://schemas.openxmlformats.org/officeDocument/2006/relationships/hyperlink" Target="https://saverhot.ru/catalog/komplektuyushchie/komplekty_izolyatsii_stykov_ppu_pe/315244/" TargetMode="External"/><Relationship  Id="rId48" Type="http://schemas.openxmlformats.org/officeDocument/2006/relationships/hyperlink" Target="https://saverhot.ru/catalog/troynikovye_otvetvleniya_stalnye_ppu/troynikovye_otvetvleniya_stalnye_ppu_pe/258591/" TargetMode="External"/><Relationship  Id="rId47" Type="http://schemas.openxmlformats.org/officeDocument/2006/relationships/hyperlink" Target="https://saverhot.ru/catalog/troynikovye_otvetvleniya_stalnye_ppu/troynikovye_otvetvleniya_stalnye_ppu_pe/258627/" TargetMode="External"/><Relationship  Id="rId45" Type="http://schemas.openxmlformats.org/officeDocument/2006/relationships/hyperlink" Target="https://saverhot.ru/catalog/troynikovye_otvetvleniya_stalnye_ppu/troynikovye_otvetvleniya_stalnye_ppu_pe/258783/" TargetMode="External"/><Relationship  Id="rId64" Type="http://schemas.openxmlformats.org/officeDocument/2006/relationships/hyperlink" Target="https://saverhot.ru/catalog/komplektuyushchie/komplekty_izolyatsii_stykov_ppu_pe/315228/" TargetMode="External"/><Relationship  Id="rId44" Type="http://schemas.openxmlformats.org/officeDocument/2006/relationships/hyperlink" Target="https://saverhot.ru/catalog/troynikovye_otvetvleniya_stalnye_ppu/troynikovye_otvetvleniya_stalnye_ppu_pe/258807/" TargetMode="External"/><Relationship  Id="rId62" Type="http://schemas.openxmlformats.org/officeDocument/2006/relationships/hyperlink" Target="https://saverhot.ru/catalog/komplektuyushchie/komplekty_izolyatsii_stykov_ppu_ots/315315/" TargetMode="External"/><Relationship  Id="rId49" Type="http://schemas.openxmlformats.org/officeDocument/2006/relationships/hyperlink" Target="https://saverhot.ru/catalog/skolzyashchie_opori/skolzyashchie_opory_gost_30732_2020/309383/" TargetMode="External"/><Relationship  Id="rId43" Type="http://schemas.openxmlformats.org/officeDocument/2006/relationships/hyperlink" Target="https://saverhot.ru/catalog/troyniki_stalnye_ppu/troyniki_stalnye_ppu_pe/295158/" TargetMode="External"/><Relationship  Id="rId42" Type="http://schemas.openxmlformats.org/officeDocument/2006/relationships/hyperlink" Target="https://saverhot.ru/catalog/troyniki_stalnye_ppu/troyniki_stalnye_ppu_pe/295194/" TargetMode="External"/><Relationship  Id="rId40" Type="http://schemas.openxmlformats.org/officeDocument/2006/relationships/hyperlink" Target="https://saverhot.ru/catalog/troyniki_stalnye_ppu/troyniki_stalnye_ppu_pe/295242/" TargetMode="External"/><Relationship  Id="rId39" Type="http://schemas.openxmlformats.org/officeDocument/2006/relationships/hyperlink" Target="https://saverhot.ru/catalog/troyniki_stalnye_ppu/troyniki_stalnye_ppu_pe/295266/" TargetMode="External"/><Relationship  Id="rId54" Type="http://schemas.openxmlformats.org/officeDocument/2006/relationships/hyperlink" Target="https://saverhot.ru/catalog/komplektuyushchie/komplekty_izolyatsii_stykov_ppu_pe/315247/" TargetMode="External"/><Relationship  Id="rId38" Type="http://schemas.openxmlformats.org/officeDocument/2006/relationships/hyperlink" Target="https://saverhot.ru/catalog/troyniki_stalnye_ppu/troyniki_stalnye_ppu_pe/295302/" TargetMode="External"/><Relationship  Id="rId41" Type="http://schemas.openxmlformats.org/officeDocument/2006/relationships/hyperlink" Target="https://saverhot.ru/catalog/troyniki_stalnye_ppu/troyniki_stalnye_ppu_pe/295218/" TargetMode="External"/><Relationship  Id="rId36" Type="http://schemas.openxmlformats.org/officeDocument/2006/relationships/hyperlink" Target="https://saverhot.ru/catalog/troyniki_stalnye_ppu/troyniki_stalnye_ppu_pe/295350/" TargetMode="External"/><Relationship  Id="rId35" Type="http://schemas.openxmlformats.org/officeDocument/2006/relationships/hyperlink" Target="https://saverhot.ru/catalog/troyniki_stalnye_ppu/troyniki_stalnye_ppu_pe/295374/" TargetMode="External"/><Relationship  Id="rId34" Type="http://schemas.openxmlformats.org/officeDocument/2006/relationships/hyperlink" Target="https://saverhot.ru/catalog/perekhody_ppu/perekhody_ppu_pe/238520/" TargetMode="External"/><Relationship  Id="rId58" Type="http://schemas.openxmlformats.org/officeDocument/2006/relationships/hyperlink" Target="https://saverhot.ru/catalog/komplektuyushchie/komplekty_izolyatsii_stykov_ppu_ots/315319/" TargetMode="External"/><Relationship  Id="rId33" Type="http://schemas.openxmlformats.org/officeDocument/2006/relationships/hyperlink" Target="https://saverhot.ru/catalog/perekhody_ppu/perekhody_ppu_pe/238532/" TargetMode="External"/><Relationship  Id="rId29" Type="http://schemas.openxmlformats.org/officeDocument/2006/relationships/hyperlink" Target="https://saverhot.ru/catalog/perekhody_ppu/perekhody_ppu_pe/238646/" TargetMode="External"/><Relationship  Id="rId28" Type="http://schemas.openxmlformats.org/officeDocument/2006/relationships/hyperlink" Target="https://saverhot.ru/catalog/perekhody_ppu/perekhody_ppu_pe/238670/" TargetMode="External"/><Relationship  Id="rId27" Type="http://schemas.openxmlformats.org/officeDocument/2006/relationships/hyperlink" Target="https://saverhot.ru/catalog/perekhody_ppu/perekhody_ppu_pe/238742/" TargetMode="External"/><Relationship  Id="rId52" Type="http://schemas.openxmlformats.org/officeDocument/2006/relationships/hyperlink" Target="https://saverhot.ru/catalog/komplektuyushchie/komplekty_izolyatsii_stykov_ppu_ots/315331/" TargetMode="External"/><Relationship  Id="rId23" Type="http://schemas.openxmlformats.org/officeDocument/2006/relationships/hyperlink" Target="https://saverhot.ru/catalog/otvody_stalnye_ppu/otvody_stalnye_ppu_ots/284387/" TargetMode="External"/><Relationship  Id="rId61" Type="http://schemas.openxmlformats.org/officeDocument/2006/relationships/hyperlink" Target="https://saverhot.ru/catalog/komplektuyushchie/komplekty_izolyatsii_stykov_ppu_pe/315233/" TargetMode="External"/><Relationship  Id="rId22" Type="http://schemas.openxmlformats.org/officeDocument/2006/relationships/hyperlink" Target="https://saverhot.ru/catalog/otvody_stalnye_ppu/pe/276752/" TargetMode="External"/><Relationship  Id="rId21" Type="http://schemas.openxmlformats.org/officeDocument/2006/relationships/hyperlink" Target="https://saverhot.ru/catalog/otvody_stalnye_ppu/otvody_stalnye_ppu_ots/284405/" TargetMode="External"/><Relationship  Id="rId25" Type="http://schemas.openxmlformats.org/officeDocument/2006/relationships/hyperlink" Target="https://saverhot.ru/catalog/otvody_stalnye_ppu/otvody_stalnye_ppu_ots/284370/" TargetMode="External"/><Relationship  Id="rId13" Type="http://schemas.openxmlformats.org/officeDocument/2006/relationships/hyperlink" Target="https://saverhot.ru/catalog/otvody_stalnye_ppu/otvody_stalnye_ppu_ots/284581/" TargetMode="External"/><Relationship  Id="rId50" Type="http://schemas.openxmlformats.org/officeDocument/2006/relationships/hyperlink" Target="https://saverhot.ru/catalog/komplektuyushchie/komplekty_izolyatsii_stykov_ppu_ots/315337/" TargetMode="External"/><Relationship  Id="rId11" Type="http://schemas.openxmlformats.org/officeDocument/2006/relationships/hyperlink" Target="https://saverhot.ru/catalog/truby/stalnye_ppu/_pe/308511/" TargetMode="External"/><Relationship  Id="rId24" Type="http://schemas.openxmlformats.org/officeDocument/2006/relationships/hyperlink" Target="https://saverhot.ru/catalog/otvody_stalnye_ppu/pe/276731/" TargetMode="External"/><Relationship  Id="rId10" Type="http://schemas.openxmlformats.org/officeDocument/2006/relationships/hyperlink" Target="https://saverhot.ru/catalog/truby/stalnye_ppu/ots/268840/" TargetMode="External"/><Relationship  Id="rId17" Type="http://schemas.openxmlformats.org/officeDocument/2006/relationships/hyperlink" Target="https://saverhot.ru/catalog/otvody_stalnye_ppu/pe/276850/" TargetMode="External"/><Relationship  Id="rId18" Type="http://schemas.openxmlformats.org/officeDocument/2006/relationships/hyperlink" Target="https://saverhot.ru/catalog/otvody_stalnye_ppu/pe/276822/" TargetMode="External"/><Relationship  Id="rId26" Type="http://schemas.openxmlformats.org/officeDocument/2006/relationships/hyperlink" Target="https://saverhot.ru/catalog/otvody_stalnye_ppu/pe/276694/" TargetMode="External"/><Relationship  Id="rId53" Type="http://schemas.openxmlformats.org/officeDocument/2006/relationships/hyperlink" Target="https://saverhot.ru/catalog/komplektuyushchie/komplekty_izolyatsii_stykov_ppu_pe/315250/" TargetMode="External"/><Relationship  Id="rId15" Type="http://schemas.openxmlformats.org/officeDocument/2006/relationships/hyperlink" Target="https://saverhot.ru/catalog/otvody_stalnye_ppu/otvody_stalnye_ppu_ots/284521/" TargetMode="External"/><Relationship  Id="rId9" Type="http://schemas.openxmlformats.org/officeDocument/2006/relationships/hyperlink" Target="https://saverhot.ru/catalog/truby/stalnye_ppu/_pe/308548/" TargetMode="External"/><Relationship  Id="rId8" Type="http://schemas.openxmlformats.org/officeDocument/2006/relationships/hyperlink" Target="https://saverhot.ru/catalog/truby/stalnye_ppu/ots/268857/" TargetMode="External"/><Relationship  Id="rId20" Type="http://schemas.openxmlformats.org/officeDocument/2006/relationships/hyperlink" Target="https://saverhot.ru/catalog/otvody_stalnye_ppu/pe/276780/" TargetMode="External"/><Relationship  Id="rId31" Type="http://schemas.openxmlformats.org/officeDocument/2006/relationships/hyperlink" Target="https://saverhot.ru/catalog/perekhody_ppu/perekhody_ppu_pe/238568/" TargetMode="External"/><Relationship  Id="rId37" Type="http://schemas.openxmlformats.org/officeDocument/2006/relationships/hyperlink" Target="https://saverhot.ru/catalog/troyniki_stalnye_ppu/troyniki_stalnye_ppu_pe/295314/" TargetMode="External"/><Relationship  Id="rId19" Type="http://schemas.openxmlformats.org/officeDocument/2006/relationships/hyperlink" Target="https://saverhot.ru/catalog/otvody_stalnye_ppu/otvody_stalnye_ppu_ots/284429/" TargetMode="External"/><Relationship  Id="rId46" Type="http://schemas.openxmlformats.org/officeDocument/2006/relationships/hyperlink" Target="https://saverhot.ru/catalog/troynikovye_otvetvleniya_stalnye_ppu/troynikovye_otvetvleniya_stalnye_ppu_pe/258747/" TargetMode="External"/><Relationship  Id="rId7" Type="http://schemas.openxmlformats.org/officeDocument/2006/relationships/hyperlink" Target="https://saverhot.ru/catalog/truby/stalnye_ppu/_pe/308569/" TargetMode="External"/><Relationship  Id="rId14" Type="http://schemas.openxmlformats.org/officeDocument/2006/relationships/hyperlink" Target="https://saverhot.ru/catalog/otvody_stalnye_ppu/pe/276938/" TargetMode="External"/><Relationship  Id="rId6" Type="http://schemas.openxmlformats.org/officeDocument/2006/relationships/hyperlink" Target="https://saverhot.ru/catalog/truby/stalnye_ppu/_pe/308597/" TargetMode="External"/><Relationship  Id="rId5" Type="http://schemas.openxmlformats.org/officeDocument/2006/relationships/hyperlink" Target="https://saverhot.ru/catalog/truby/stalnye_ppu/_pe/308639/" TargetMode="External"/><Relationship  Id="rId16" Type="http://schemas.openxmlformats.org/officeDocument/2006/relationships/hyperlink" Target="https://saverhot.ru/catalog/otvody_stalnye_ppu/pe/276878/" TargetMode="External"/><Relationship  Id="rId4" Type="http://schemas.openxmlformats.org/officeDocument/2006/relationships/hyperlink" Target="https://saverhot.ru/catalog/truby/stalnye_ppu/_pe/308667/" TargetMode="External"/><Relationship  Id="rId12" Type="http://schemas.openxmlformats.org/officeDocument/2006/relationships/hyperlink" Target="https://saverhot.ru/catalog/truby/stalnye_ppu/_pe/308471/" TargetMode="External"/><Relationship  Id="rId32" Type="http://schemas.openxmlformats.org/officeDocument/2006/relationships/hyperlink" Target="https://saverhot.ru/catalog/perekhody_ppu/perekhody_ppu_pe/238544/" TargetMode="External"/><Relationship  Id="rId3" Type="http://schemas.openxmlformats.org/officeDocument/2006/relationships/hyperlink" Target="https://saverhot.ru/catalog/truby/stalnye_ppu/_pe/308695/" TargetMode="External"/><Relationship  Id="rId30" Type="http://schemas.openxmlformats.org/officeDocument/2006/relationships/hyperlink" Target="https://saverhot.ru/catalog/perekhody_ppu/perekhody_ppu_pe/238610/" TargetMode="External"/><Relationship  Id="rId2" Type="http://schemas.openxmlformats.org/officeDocument/2006/relationships/hyperlink" Target="https://saverhot.ru/catalog/truby/stalnye_ppu/ots/268991/" TargetMode="External"/><Relationship  Id="rId1" Type="http://schemas.openxmlformats.org/officeDocument/2006/relationships/hyperlink" Target="https://saverhot.ru/catalog/truby/stalnye_ppu/_pe/308755/" TargetMode="External"/></Relationships>
</file>

<file path=xl/worksheets/_rels/sheet3.xml.rels><?xml version="1.0" encoding="UTF-8" standalone="yes"?><Relationships xmlns="http://schemas.openxmlformats.org/package/2006/relationships"><Relationship 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80" workbookViewId="0">
      <selection activeCell="H5" activeCellId="0" sqref="H5"/>
    </sheetView>
  </sheetViews>
  <sheetFormatPr defaultColWidth="9.125" defaultRowHeight="12.75"/>
  <cols>
    <col min="1" max="1" style="1" width="9.125"/>
    <col customWidth="1" min="2" max="2" style="1" width="41.625"/>
    <col customWidth="1" min="3" max="3" style="1" width="14.375"/>
    <col customWidth="1" min="4" max="5" style="1" width="12.75"/>
    <col customWidth="1" min="6" max="8" style="1" width="14.25"/>
    <col customWidth="1" min="9" max="9" style="1" width="12.375"/>
    <col min="10" max="16384" style="1" width="9.125"/>
  </cols>
  <sheetData>
    <row r="2" s="2" customFormat="1" ht="14.449999999999999" customHeight="1">
      <c r="B2" s="3" t="s">
        <v>0</v>
      </c>
      <c r="C2" s="4" t="s">
        <v>1</v>
      </c>
      <c r="D2" s="4"/>
      <c r="E2" s="4"/>
      <c r="F2" s="4"/>
      <c r="G2" s="5" t="s">
        <v>2</v>
      </c>
      <c r="H2" s="5"/>
    </row>
    <row r="3" s="2" customFormat="1" ht="42.799999999999997" customHeight="1">
      <c r="B3" s="6"/>
      <c r="C3" s="7" t="s">
        <v>3</v>
      </c>
      <c r="D3" s="7"/>
      <c r="E3" s="4" t="s">
        <v>4</v>
      </c>
      <c r="F3" s="4"/>
      <c r="G3" s="5" t="s">
        <v>5</v>
      </c>
      <c r="H3" s="5"/>
    </row>
    <row r="4" s="2" customFormat="1" ht="14.25">
      <c r="B4" s="8"/>
      <c r="C4" s="4" t="s">
        <v>6</v>
      </c>
      <c r="D4" s="7" t="s">
        <v>7</v>
      </c>
      <c r="E4" s="7" t="s">
        <v>6</v>
      </c>
      <c r="F4" s="4" t="s">
        <v>7</v>
      </c>
      <c r="G4" s="5" t="s">
        <v>6</v>
      </c>
      <c r="H4" s="5" t="s">
        <v>7</v>
      </c>
    </row>
    <row r="5" s="2" customFormat="1" ht="27">
      <c r="B5" s="9" t="s">
        <v>8</v>
      </c>
      <c r="C5" s="10">
        <f t="shared" ref="C5:H5" si="0">SUM(C6:C13)</f>
        <v>3924.0000000000005</v>
      </c>
      <c r="D5" s="11">
        <f t="shared" si="0"/>
        <v>17.883728851240157</v>
      </c>
      <c r="E5" s="10">
        <f t="shared" si="0"/>
        <v>2038</v>
      </c>
      <c r="F5" s="11">
        <f t="shared" si="0"/>
        <v>23.180802910555705</v>
      </c>
      <c r="G5" s="12">
        <f t="shared" si="0"/>
        <v>2614</v>
      </c>
      <c r="H5" s="13">
        <f t="shared" si="0"/>
        <v>23.180802910555705</v>
      </c>
    </row>
    <row r="6" ht="28.5">
      <c r="B6" s="14" t="s">
        <v>9</v>
      </c>
      <c r="C6" s="15">
        <v>565.20000000000005</v>
      </c>
      <c r="D6" s="16">
        <v>3.5209826356530032</v>
      </c>
      <c r="E6" s="15">
        <v>290</v>
      </c>
      <c r="F6" s="17">
        <f t="shared" ref="F6:F12" si="1">H6</f>
        <v>2.7375507320982022</v>
      </c>
      <c r="G6" s="18">
        <f>'свод затрат на 2026г'!Q6</f>
        <v>290</v>
      </c>
      <c r="H6" s="19">
        <f>'свод затрат на 2026г'!AC6/1000000</f>
        <v>2.7375507320982022</v>
      </c>
    </row>
    <row r="7" ht="28.5">
      <c r="B7" s="14" t="s">
        <v>10</v>
      </c>
      <c r="C7" s="15">
        <v>628.79999999999995</v>
      </c>
      <c r="D7" s="16">
        <v>2.3387799999999999</v>
      </c>
      <c r="E7" s="15">
        <v>550</v>
      </c>
      <c r="F7" s="17">
        <f t="shared" si="1"/>
        <v>4.526193051529745</v>
      </c>
      <c r="G7" s="18">
        <f>'свод затрат на 2026г'!Q7</f>
        <v>516</v>
      </c>
      <c r="H7" s="19">
        <f>'свод затрат на 2026г'!AC7/1000000</f>
        <v>4.526193051529745</v>
      </c>
    </row>
    <row r="8" ht="28.5">
      <c r="B8" s="14" t="s">
        <v>11</v>
      </c>
      <c r="C8" s="15">
        <v>964.79999999999995</v>
      </c>
      <c r="D8" s="16">
        <v>5.6427420000000001</v>
      </c>
      <c r="E8" s="15">
        <v>0</v>
      </c>
      <c r="F8" s="17">
        <f t="shared" si="1"/>
        <v>0</v>
      </c>
      <c r="G8" s="18">
        <v>0</v>
      </c>
      <c r="H8" s="19">
        <v>0</v>
      </c>
    </row>
    <row r="9" ht="28.5">
      <c r="B9" s="14" t="s">
        <v>12</v>
      </c>
      <c r="C9" s="15">
        <v>159</v>
      </c>
      <c r="D9" s="16">
        <v>0.44297399999999992</v>
      </c>
      <c r="E9" s="15">
        <v>0</v>
      </c>
      <c r="F9" s="17">
        <f t="shared" si="1"/>
        <v>0</v>
      </c>
      <c r="G9" s="18">
        <v>0</v>
      </c>
      <c r="H9" s="19">
        <v>0</v>
      </c>
    </row>
    <row r="10" ht="14.25">
      <c r="B10" s="14" t="s">
        <v>13</v>
      </c>
      <c r="C10" s="15">
        <v>403</v>
      </c>
      <c r="D10" s="16">
        <v>1.0215080000000001</v>
      </c>
      <c r="E10" s="15">
        <v>412</v>
      </c>
      <c r="F10" s="17">
        <f t="shared" si="1"/>
        <v>3.2054753867894608</v>
      </c>
      <c r="G10" s="18">
        <f>'свод затрат на 2026г'!Q9</f>
        <v>412</v>
      </c>
      <c r="H10" s="19">
        <f>'свод затрат на 2026г'!AC9/1000000</f>
        <v>3.2054753867894608</v>
      </c>
    </row>
    <row r="11" ht="14.25">
      <c r="B11" s="14" t="s">
        <v>14</v>
      </c>
      <c r="C11" s="15">
        <v>675</v>
      </c>
      <c r="D11" s="16">
        <v>2.1897679999999999</v>
      </c>
      <c r="E11" s="15">
        <v>240</v>
      </c>
      <c r="F11" s="17">
        <f t="shared" si="1"/>
        <v>2.0922546792982906</v>
      </c>
      <c r="G11" s="18">
        <f>'свод затрат на 2026г'!Q10</f>
        <v>240</v>
      </c>
      <c r="H11" s="19">
        <f>'свод затрат на 2026г'!AC10/1000000</f>
        <v>2.0922546792982906</v>
      </c>
    </row>
    <row r="12" ht="28.5">
      <c r="B12" s="14" t="s">
        <v>15</v>
      </c>
      <c r="C12" s="15">
        <v>528.20000000000027</v>
      </c>
      <c r="D12" s="16">
        <v>2.7269742155871524</v>
      </c>
      <c r="E12" s="15">
        <v>0</v>
      </c>
      <c r="F12" s="17">
        <f t="shared" si="1"/>
        <v>0</v>
      </c>
      <c r="G12" s="18">
        <v>0</v>
      </c>
      <c r="H12" s="19"/>
    </row>
    <row r="13" ht="24">
      <c r="B13" s="20" t="s">
        <v>16</v>
      </c>
      <c r="C13" s="21">
        <v>0</v>
      </c>
      <c r="D13" s="21">
        <v>0</v>
      </c>
      <c r="E13" s="21">
        <v>546</v>
      </c>
      <c r="F13" s="22">
        <f>H13</f>
        <v>10.619329060840005</v>
      </c>
      <c r="G13" s="18">
        <f>'свод затрат на 2026г'!Q8</f>
        <v>1156</v>
      </c>
      <c r="H13" s="19">
        <f>'свод затрат на 2026г'!AC8/1000000</f>
        <v>10.619329060840005</v>
      </c>
      <c r="I13" s="1" t="s">
        <v>17</v>
      </c>
    </row>
  </sheetData>
  <mergeCells count="6">
    <mergeCell ref="B2:B4"/>
    <mergeCell ref="C2:F2"/>
    <mergeCell ref="G2:H2"/>
    <mergeCell ref="C3:D3"/>
    <mergeCell ref="E3:F3"/>
    <mergeCell ref="G3:H3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90" workbookViewId="0">
      <selection activeCell="C8" activeCellId="0" sqref="C8"/>
    </sheetView>
  </sheetViews>
  <sheetFormatPr defaultColWidth="9.125" defaultRowHeight="12.75" outlineLevelCol="1"/>
  <cols>
    <col customWidth="1" min="1" max="1" style="227" width="17.75"/>
    <col customWidth="1" min="2" max="2" style="227" width="24.75"/>
    <col customWidth="1" min="3" max="3" style="228" width="12.875"/>
    <col customWidth="1" hidden="1" min="4" max="4" outlineLevel="1" style="228" width="10.75"/>
    <col collapsed="1" customWidth="1" min="5" max="5" style="226" width="10.75"/>
    <col customWidth="1" min="6" max="6" style="226" width="8.625"/>
    <col customWidth="1" min="7" max="7" style="229" width="8.75"/>
    <col customWidth="1" min="8" max="8" style="230" width="10.625"/>
    <col customWidth="1" min="9" max="9" style="230" width="16.375"/>
    <col customWidth="1" min="10" max="10" style="226" width="12.75"/>
    <col customWidth="1" min="11" max="11" style="226" width="16.75"/>
    <col customWidth="1" min="12" max="13" style="226" width="16.125"/>
    <col customWidth="1" min="14" max="14" style="226" width="22.125"/>
    <col customWidth="1" hidden="1" min="15" max="15" style="226" width="20.375"/>
    <col customWidth="1" min="16" max="16" style="226" width="13.125"/>
    <col customWidth="1" min="17" max="17" style="226" width="10.125"/>
    <col bestFit="1" customWidth="1" min="18" max="18" style="226" width="12.625"/>
    <col customWidth="1" min="19" max="19" style="226" width="10.625"/>
    <col customWidth="1" min="20" max="20" style="226" width="11.125"/>
    <col bestFit="1" customWidth="1" min="21" max="21" style="226" width="11"/>
    <col customWidth="1" min="22" max="22" style="226" width="9.75"/>
    <col customWidth="1" min="23" max="23" style="226" width="10.75"/>
    <col customWidth="1" min="24" max="24" style="226" width="11.875"/>
    <col bestFit="1" customWidth="1" min="25" max="25" style="226" width="11"/>
    <col customWidth="1" min="26" max="27" style="230" width="13.875"/>
    <col customWidth="1" min="28" max="28" style="226" width="17.75"/>
    <col customWidth="1" min="29" max="30" style="226" width="12.25"/>
    <col min="31" max="16384" style="226" width="9.125"/>
  </cols>
  <sheetData>
    <row r="1" ht="18.75">
      <c r="A1" s="231" t="s">
        <v>711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</row>
    <row r="2" ht="14.25">
      <c r="G2" s="229">
        <v>21</v>
      </c>
      <c r="Q2" s="232"/>
      <c r="Z2" s="233"/>
      <c r="AA2" s="233"/>
    </row>
    <row r="3" s="234" customFormat="1" ht="14.25">
      <c r="A3" s="235" t="s">
        <v>712</v>
      </c>
      <c r="B3" s="236" t="s">
        <v>713</v>
      </c>
      <c r="C3" s="237" t="s">
        <v>714</v>
      </c>
      <c r="D3" s="238" t="s">
        <v>715</v>
      </c>
      <c r="E3" s="236" t="s">
        <v>716</v>
      </c>
      <c r="F3" s="239" t="s">
        <v>709</v>
      </c>
      <c r="G3" s="240" t="s">
        <v>717</v>
      </c>
      <c r="H3" s="239" t="s">
        <v>718</v>
      </c>
      <c r="I3" s="235" t="s">
        <v>719</v>
      </c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6" t="s">
        <v>720</v>
      </c>
      <c r="AD3" s="236" t="s">
        <v>721</v>
      </c>
    </row>
    <row r="4" s="234" customFormat="1" ht="14.449999999999999" customHeight="1">
      <c r="A4" s="235"/>
      <c r="B4" s="236"/>
      <c r="C4" s="237"/>
      <c r="D4" s="241"/>
      <c r="E4" s="236"/>
      <c r="F4" s="242"/>
      <c r="G4" s="243"/>
      <c r="H4" s="244"/>
      <c r="I4" s="235" t="s">
        <v>722</v>
      </c>
      <c r="J4" s="235" t="s">
        <v>723</v>
      </c>
      <c r="K4" s="236" t="s">
        <v>710</v>
      </c>
      <c r="L4" s="239" t="s">
        <v>724</v>
      </c>
      <c r="M4" s="239" t="s">
        <v>725</v>
      </c>
      <c r="N4" s="239" t="s">
        <v>726</v>
      </c>
      <c r="O4" s="239" t="s">
        <v>727</v>
      </c>
      <c r="P4" s="245" t="s">
        <v>728</v>
      </c>
      <c r="Q4" s="245"/>
      <c r="R4" s="246" t="s">
        <v>36</v>
      </c>
      <c r="S4" s="247" t="s">
        <v>106</v>
      </c>
      <c r="T4" s="246" t="s">
        <v>94</v>
      </c>
      <c r="U4" s="247" t="s">
        <v>729</v>
      </c>
      <c r="V4" s="246" t="s">
        <v>730</v>
      </c>
      <c r="W4" s="246" t="s">
        <v>731</v>
      </c>
      <c r="X4" s="246" t="s">
        <v>58</v>
      </c>
      <c r="Y4" s="246" t="s">
        <v>110</v>
      </c>
      <c r="Z4" s="248" t="s">
        <v>732</v>
      </c>
      <c r="AA4" s="248" t="s">
        <v>733</v>
      </c>
      <c r="AB4" s="236" t="s">
        <v>734</v>
      </c>
      <c r="AC4" s="236"/>
      <c r="AD4" s="236"/>
    </row>
    <row r="5" s="234" customFormat="1" ht="75.25" customHeight="1">
      <c r="A5" s="235"/>
      <c r="B5" s="236"/>
      <c r="C5" s="237"/>
      <c r="D5" s="249"/>
      <c r="E5" s="236"/>
      <c r="F5" s="236" t="s">
        <v>735</v>
      </c>
      <c r="G5" s="250"/>
      <c r="H5" s="242"/>
      <c r="I5" s="235"/>
      <c r="J5" s="235"/>
      <c r="K5" s="236"/>
      <c r="L5" s="242"/>
      <c r="M5" s="242"/>
      <c r="N5" s="242"/>
      <c r="O5" s="242"/>
      <c r="P5" s="246" t="s">
        <v>736</v>
      </c>
      <c r="Q5" s="246" t="s">
        <v>327</v>
      </c>
      <c r="R5" s="246"/>
      <c r="S5" s="251"/>
      <c r="T5" s="246"/>
      <c r="U5" s="251"/>
      <c r="V5" s="246"/>
      <c r="W5" s="246"/>
      <c r="X5" s="246"/>
      <c r="Y5" s="246"/>
      <c r="Z5" s="252"/>
      <c r="AA5" s="252"/>
      <c r="AB5" s="236"/>
      <c r="AC5" s="236"/>
      <c r="AD5" s="236"/>
    </row>
    <row r="6" ht="24">
      <c r="A6" s="253" t="s">
        <v>737</v>
      </c>
      <c r="B6" s="254" t="s">
        <v>118</v>
      </c>
      <c r="C6" s="255">
        <v>290</v>
      </c>
      <c r="D6" s="255"/>
      <c r="E6" s="256">
        <v>21</v>
      </c>
      <c r="F6" s="257"/>
      <c r="G6" s="258">
        <f>(18*17*8)+(57.2*3)</f>
        <v>2619.5999999999999</v>
      </c>
      <c r="H6" s="259">
        <f t="shared" ref="H6:H10" si="62">G6/C6</f>
        <v>9.0331034482758614</v>
      </c>
      <c r="I6" s="260">
        <v>825264.74494308152</v>
      </c>
      <c r="J6" s="260">
        <v>150834.15112855742</v>
      </c>
      <c r="K6" s="261">
        <f>'Объемы работ 2026'!I26</f>
        <v>42051.274006720632</v>
      </c>
      <c r="L6" s="261">
        <f>'Объемы работ 2026'!I25</f>
        <v>55174.699999999997</v>
      </c>
      <c r="M6" s="261">
        <f t="shared" ref="M6:M9" si="63">(C6/$C$11)*$P$17</f>
        <v>171338.74622356496</v>
      </c>
      <c r="N6" s="261">
        <f>'Объемы работ 2026'!I27</f>
        <v>392793.79999999999</v>
      </c>
      <c r="O6" s="261"/>
      <c r="P6" s="261">
        <f>SUM('Объемы работ 2026'!I2:I4)</f>
        <v>784619.97957417765</v>
      </c>
      <c r="Q6" s="262">
        <f>SUM('Объемы работ 2026'!G2:G4)</f>
        <v>290</v>
      </c>
      <c r="R6" s="261">
        <f>SUM('Объемы работ 2026'!I5:I9)</f>
        <v>107375.88001000001</v>
      </c>
      <c r="S6" s="261">
        <f>SUM('Объемы работ 2026'!I10:I11)</f>
        <v>23463.327999999998</v>
      </c>
      <c r="T6" s="261"/>
      <c r="U6" s="261"/>
      <c r="V6" s="261"/>
      <c r="W6" s="261"/>
      <c r="X6" s="261">
        <f>SUM('Объемы работ 2026'!I22:I24)</f>
        <v>57444.963333333333</v>
      </c>
      <c r="Y6" s="261">
        <f>SUM('Объемы работ 2026'!I12:I14)</f>
        <v>62076.578666666668</v>
      </c>
      <c r="Z6" s="261">
        <f>SUM('Объемы работ 2026'!I15:I21)</f>
        <v>65112.586212100003</v>
      </c>
      <c r="AA6" s="261"/>
      <c r="AB6" s="263">
        <f t="shared" ref="AB6:AB9" si="64">SUM(R6:Z6)+P6</f>
        <v>1100093.3157962777</v>
      </c>
      <c r="AC6" s="264">
        <f t="shared" ref="AC6:AC9" si="65">AB6+N6+M6+L6+K6+J6+I6</f>
        <v>2737550.7320982022</v>
      </c>
      <c r="AD6" s="265">
        <f t="shared" ref="AD6:AD9" si="66">(AB6+N6+K6+J6)*1.2+I6+L6+M6</f>
        <v>3074705.2402845137</v>
      </c>
      <c r="AE6" s="266">
        <f t="shared" ref="AE6:AE9" si="67">Q6/$Q$11</f>
        <v>0.11094108645753634</v>
      </c>
    </row>
    <row r="7" ht="36">
      <c r="A7" s="253" t="s">
        <v>738</v>
      </c>
      <c r="B7" s="254" t="s">
        <v>159</v>
      </c>
      <c r="C7" s="255">
        <v>550</v>
      </c>
      <c r="D7" s="255"/>
      <c r="E7" s="256">
        <v>21</v>
      </c>
      <c r="F7" s="258"/>
      <c r="G7" s="258">
        <f>(18*23*8)+(57.2*3)</f>
        <v>3483.5999999999999</v>
      </c>
      <c r="H7" s="259">
        <f t="shared" si="62"/>
        <v>6.3338181818181818</v>
      </c>
      <c r="I7" s="260">
        <v>1565157.2748920512</v>
      </c>
      <c r="J7" s="260">
        <v>286064.76938174682</v>
      </c>
      <c r="K7" s="261">
        <f>'Объемы работ 2026'!I89</f>
        <v>48621.785570270731</v>
      </c>
      <c r="L7" s="261">
        <f>'Объемы работ 2026'!I88</f>
        <v>110349.39999999999</v>
      </c>
      <c r="M7" s="261">
        <f t="shared" si="63"/>
        <v>324952.79456193349</v>
      </c>
      <c r="N7" s="261">
        <f>'Объемы работ 2026'!I90</f>
        <v>392793.79999999999</v>
      </c>
      <c r="O7" s="261"/>
      <c r="P7" s="261">
        <f>SUM('Объемы работ 2026'!I28:I34)</f>
        <v>1140250.6529665161</v>
      </c>
      <c r="Q7" s="262">
        <f>'Объемы работ 2026'!G28+'Объемы работ 2026'!G29+'Объемы работ 2026'!G30+'Объемы работ 2026'!G31+'Объемы работ 2026'!G32</f>
        <v>516</v>
      </c>
      <c r="R7" s="261">
        <f>SUM('Объемы работ 2026'!I35:I49)</f>
        <v>216108.44852799998</v>
      </c>
      <c r="S7" s="261">
        <f>SUM('Объемы работ 2026'!I50:I54)</f>
        <v>4597.5439999999999</v>
      </c>
      <c r="T7" s="261">
        <f>SUM('Объемы работ 2026'!I62:I65)</f>
        <v>48268.996999999996</v>
      </c>
      <c r="U7" s="261">
        <f>SUM('Объемы работ 2026'!I55:I61)</f>
        <v>96207.362999999998</v>
      </c>
      <c r="V7" s="261">
        <f>'Объемы работ 2026'!I72</f>
        <v>29172.709999999999</v>
      </c>
      <c r="W7" s="256"/>
      <c r="X7" s="261">
        <f>SUM('Объемы работ 2026'!I80:I85)</f>
        <v>125635.80616999998</v>
      </c>
      <c r="Y7" s="261">
        <f>SUM('Объемы работ 2026'!I66:I71)</f>
        <v>56972.872106826675</v>
      </c>
      <c r="Z7" s="261">
        <f>SUM('Объемы работ 2026'!I73:I79)+SUM('Объемы работ 2026'!I86:I87)</f>
        <v>81038.833352400034</v>
      </c>
      <c r="AA7" s="261"/>
      <c r="AB7" s="263">
        <f t="shared" si="64"/>
        <v>1798253.2271237427</v>
      </c>
      <c r="AC7" s="264">
        <f t="shared" si="65"/>
        <v>4526193.0515297446</v>
      </c>
      <c r="AD7" s="265">
        <f t="shared" si="66"/>
        <v>5031339.7679448975</v>
      </c>
      <c r="AE7" s="266">
        <f t="shared" si="67"/>
        <v>0.19739862280030604</v>
      </c>
    </row>
    <row r="8" ht="36">
      <c r="A8" s="253" t="s">
        <v>739</v>
      </c>
      <c r="B8" s="254" t="s">
        <v>16</v>
      </c>
      <c r="C8" s="267">
        <v>1156</v>
      </c>
      <c r="D8" s="267"/>
      <c r="E8" s="268">
        <v>21</v>
      </c>
      <c r="F8" s="269"/>
      <c r="G8" s="258">
        <f t="shared" ref="G8:G9" si="68">(18*21*8)+(57.2*3)</f>
        <v>3195.5999999999999</v>
      </c>
      <c r="H8" s="259">
        <f t="shared" si="62"/>
        <v>2.7643598615916956</v>
      </c>
      <c r="I8" s="260">
        <v>1553774.3128928361</v>
      </c>
      <c r="J8" s="260">
        <v>283984.2983316977</v>
      </c>
      <c r="K8" s="262">
        <f>'Объемы работ 2026'!I112</f>
        <v>315384.55505040474</v>
      </c>
      <c r="L8" s="262">
        <f>'Объемы работ 2026'!I111</f>
        <v>110349.39999999999</v>
      </c>
      <c r="M8" s="261">
        <f t="shared" si="63"/>
        <v>682991.69184290024</v>
      </c>
      <c r="N8" s="262">
        <f>'Объемы работ 2026'!I113</f>
        <v>392793.79999999999</v>
      </c>
      <c r="O8" s="261"/>
      <c r="P8" s="261">
        <f>SUM('Объемы работ 2026'!I91:I92)</f>
        <v>5724211.5517271999</v>
      </c>
      <c r="Q8" s="262">
        <f>SUM('Объемы работ 2026'!G91:G92)</f>
        <v>1156</v>
      </c>
      <c r="R8" s="261">
        <f>SUM('Объемы работ 2026'!I93:I96)</f>
        <v>699507.03411866666</v>
      </c>
      <c r="S8" s="261"/>
      <c r="T8" s="261">
        <f>SUM('Объемы работ 2026'!I99:I100)</f>
        <v>42137.199999999997</v>
      </c>
      <c r="U8" s="261">
        <f>SUM('Объемы работ 2026'!I97:I98)</f>
        <v>46014.014311999999</v>
      </c>
      <c r="V8" s="262"/>
      <c r="W8" s="262"/>
      <c r="X8" s="261">
        <f>SUM('Объемы работ 2026'!I109:I110)</f>
        <v>383658.53430799994</v>
      </c>
      <c r="Y8" s="261">
        <f>SUM('Объемы работ 2026'!I101)</f>
        <v>162581.43462007999</v>
      </c>
      <c r="Z8" s="261">
        <f>SUM('Объемы работ 2026'!I102:I108)</f>
        <v>221941.23363622001</v>
      </c>
      <c r="AA8" s="261"/>
      <c r="AB8" s="263">
        <f t="shared" si="64"/>
        <v>7280051.0027221665</v>
      </c>
      <c r="AC8" s="264">
        <f t="shared" si="65"/>
        <v>10619329.060840005</v>
      </c>
      <c r="AD8" s="265">
        <f t="shared" si="66"/>
        <v>12273771.792060858</v>
      </c>
      <c r="AE8" s="266">
        <f t="shared" si="67"/>
        <v>0.44223412394797246</v>
      </c>
    </row>
    <row r="9" ht="14.25">
      <c r="A9" s="270" t="s">
        <v>740</v>
      </c>
      <c r="B9" s="254" t="s">
        <v>13</v>
      </c>
      <c r="C9" s="267">
        <v>412</v>
      </c>
      <c r="D9" s="267"/>
      <c r="E9" s="268">
        <v>21</v>
      </c>
      <c r="F9" s="268"/>
      <c r="G9" s="258">
        <f t="shared" si="68"/>
        <v>3195.5999999999999</v>
      </c>
      <c r="H9" s="259">
        <f t="shared" si="62"/>
        <v>7.7563106796116505</v>
      </c>
      <c r="I9" s="260">
        <v>1172445.0859191364</v>
      </c>
      <c r="J9" s="260">
        <v>214288.51815505399</v>
      </c>
      <c r="K9" s="268">
        <v>0</v>
      </c>
      <c r="L9" s="268">
        <v>0</v>
      </c>
      <c r="M9" s="261">
        <f t="shared" si="63"/>
        <v>243419.18429003021</v>
      </c>
      <c r="N9" s="262">
        <f>'Объемы работ 2026'!I134</f>
        <v>392793.79999999999</v>
      </c>
      <c r="O9" s="261"/>
      <c r="P9" s="262">
        <f>SUM('Объемы работ 2026'!I114:I116)</f>
        <v>850378.96025599993</v>
      </c>
      <c r="Q9" s="262">
        <f>SUM('Объемы работ 2026'!G114:G116)</f>
        <v>412</v>
      </c>
      <c r="R9" s="261">
        <f>SUM('Объемы работ 2026'!I117:I120)</f>
        <v>157023.20776800002</v>
      </c>
      <c r="S9" s="261">
        <f>SUM('Объемы работ 2026'!I121)</f>
        <v>6030.6259999999993</v>
      </c>
      <c r="T9" s="268"/>
      <c r="U9" s="261">
        <f>SUM('Объемы работ 2026'!I122)</f>
        <v>18920.02</v>
      </c>
      <c r="V9" s="268"/>
      <c r="W9" s="268"/>
      <c r="X9" s="261">
        <f>SUM('Объемы работ 2026'!I131:I133)</f>
        <v>76915.029547999991</v>
      </c>
      <c r="Y9" s="261">
        <f>SUM('Объемы работ 2026'!I123)</f>
        <v>12818.914610039999</v>
      </c>
      <c r="Z9" s="261">
        <f>SUM('Объемы работ 2026'!I124:I130)</f>
        <v>60442.040243200012</v>
      </c>
      <c r="AA9" s="261"/>
      <c r="AB9" s="263">
        <f t="shared" si="64"/>
        <v>1182528.79842524</v>
      </c>
      <c r="AC9" s="264">
        <f t="shared" si="65"/>
        <v>3205475.3867894607</v>
      </c>
      <c r="AD9" s="265">
        <f t="shared" si="66"/>
        <v>3563397.6101055192</v>
      </c>
      <c r="AE9" s="266">
        <f t="shared" si="67"/>
        <v>0.15761285386381024</v>
      </c>
    </row>
    <row r="10" ht="14.25">
      <c r="A10" s="253" t="s">
        <v>741</v>
      </c>
      <c r="B10" s="254" t="s">
        <v>14</v>
      </c>
      <c r="C10" s="255">
        <v>240</v>
      </c>
      <c r="D10" s="255"/>
      <c r="E10" s="256">
        <v>21</v>
      </c>
      <c r="F10" s="258"/>
      <c r="G10" s="258">
        <f>(18*22*8)+(57.2*3)</f>
        <v>3339.5999999999999</v>
      </c>
      <c r="H10" s="271">
        <f t="shared" si="62"/>
        <v>13.914999999999999</v>
      </c>
      <c r="I10" s="260">
        <v>682977.71995289507</v>
      </c>
      <c r="J10" s="260">
        <v>124828.26300294408</v>
      </c>
      <c r="K10" s="261">
        <f>'Объемы работ 2026'!I151</f>
        <v>23653.841628780356</v>
      </c>
      <c r="L10" s="256">
        <v>0</v>
      </c>
      <c r="M10" s="261">
        <f>(C10/$C$11)*$P$17</f>
        <v>141797.58308157098</v>
      </c>
      <c r="N10" s="261">
        <f>'Объемы работ 2026'!I152</f>
        <v>392793.79999999999</v>
      </c>
      <c r="O10" s="261"/>
      <c r="P10" s="261">
        <f>SUM('Объемы работ 2026'!I135:I136)</f>
        <v>488123.94993600005</v>
      </c>
      <c r="Q10" s="262">
        <f>SUM('Объемы работ 2026'!G135:G136)</f>
        <v>240</v>
      </c>
      <c r="R10" s="261">
        <f>SUM('Объемы работ 2026'!I137:I138)</f>
        <v>85292.322107999993</v>
      </c>
      <c r="S10" s="261">
        <f>SUM('Объемы работ 2026'!I139:I140)</f>
        <v>10167.163999999999</v>
      </c>
      <c r="T10" s="256"/>
      <c r="U10" s="256"/>
      <c r="V10" s="256"/>
      <c r="W10" s="256"/>
      <c r="X10" s="261">
        <f>SUM('Объемы работ 2026'!I149:I150)</f>
        <v>63336.141624000004</v>
      </c>
      <c r="Y10" s="261">
        <f>SUM('Объемы работ 2026'!I141)</f>
        <v>10317.668900000001</v>
      </c>
      <c r="Z10" s="261">
        <f>SUM('Объемы работ 2026'!I142:I148)</f>
        <v>68966.225064100014</v>
      </c>
      <c r="AA10" s="261"/>
      <c r="AB10" s="272">
        <f>SUM(R10:Z10)+P10</f>
        <v>726203.47163210006</v>
      </c>
      <c r="AC10" s="273">
        <f>AB10+N10+M10+L10+K10+J10+I10</f>
        <v>2092254.6792982905</v>
      </c>
      <c r="AD10" s="265">
        <f>(AB10+N10+K10+J10)*1.2+I10+L10+M10</f>
        <v>2345750.5545510552</v>
      </c>
      <c r="AE10" s="266">
        <f>Q10/$Q$11</f>
        <v>0.09181331293037491</v>
      </c>
    </row>
    <row r="11" s="274" customFormat="1" ht="16.5">
      <c r="A11" s="275" t="s">
        <v>742</v>
      </c>
      <c r="B11" s="276">
        <f>SUM(I11:Z11)-Q11+AA11</f>
        <v>23180802.910555705</v>
      </c>
      <c r="C11" s="277">
        <f>SUM(C6:C10)</f>
        <v>2648</v>
      </c>
      <c r="D11" s="277">
        <f>SUM(D7:D10)</f>
        <v>0</v>
      </c>
      <c r="E11" s="278"/>
      <c r="F11" s="278"/>
      <c r="G11" s="276">
        <f>SUM(G6:G10)</f>
        <v>15834</v>
      </c>
      <c r="H11" s="279">
        <f>G11/Q11</f>
        <v>6.0573833205814847</v>
      </c>
      <c r="I11" s="276">
        <f t="shared" ref="I11:O11" si="69">SUM(I6:I10)</f>
        <v>5799619.1386000002</v>
      </c>
      <c r="J11" s="276">
        <f t="shared" si="69"/>
        <v>1060000</v>
      </c>
      <c r="K11" s="276">
        <f t="shared" si="69"/>
        <v>429711.45625617646</v>
      </c>
      <c r="L11" s="276">
        <f t="shared" si="69"/>
        <v>275873.5</v>
      </c>
      <c r="M11" s="276">
        <f t="shared" si="69"/>
        <v>1564499.9999999998</v>
      </c>
      <c r="N11" s="276">
        <f>SUM(N6:N10)</f>
        <v>1963969</v>
      </c>
      <c r="O11" s="276">
        <f t="shared" si="69"/>
        <v>0</v>
      </c>
      <c r="P11" s="276">
        <f t="shared" ref="P11:Y11" si="70">SUM(P6:P10)</f>
        <v>8987585.0944598932</v>
      </c>
      <c r="Q11" s="280">
        <f t="shared" si="70"/>
        <v>2614</v>
      </c>
      <c r="R11" s="276">
        <f t="shared" si="70"/>
        <v>1265306.8925326667</v>
      </c>
      <c r="S11" s="276">
        <f t="shared" si="70"/>
        <v>44258.661999999989</v>
      </c>
      <c r="T11" s="276">
        <f t="shared" si="70"/>
        <v>90406.196999999986</v>
      </c>
      <c r="U11" s="276">
        <f t="shared" si="70"/>
        <v>161141.39731199999</v>
      </c>
      <c r="V11" s="276">
        <f t="shared" si="70"/>
        <v>29172.709999999999</v>
      </c>
      <c r="W11" s="276">
        <f t="shared" si="70"/>
        <v>0</v>
      </c>
      <c r="X11" s="276">
        <f t="shared" si="70"/>
        <v>706990.47498333326</v>
      </c>
      <c r="Y11" s="276">
        <f t="shared" si="70"/>
        <v>304767.46890361333</v>
      </c>
      <c r="Z11" s="276">
        <f>SUM(Z6:Z10)</f>
        <v>497500.91850802011</v>
      </c>
      <c r="AA11" s="281">
        <f>SUM(AA6:AA10)</f>
        <v>0</v>
      </c>
      <c r="AB11" s="276">
        <f>SUM(AB6:AB10)</f>
        <v>12087129.815699527</v>
      </c>
      <c r="AC11" s="276">
        <f>SUM(AC6:AC10)</f>
        <v>23180802.910555702</v>
      </c>
      <c r="AD11" s="276">
        <f>SUM(AD6:AD10)</f>
        <v>26288964.96494684</v>
      </c>
    </row>
    <row r="12" ht="16.5">
      <c r="A12" s="275" t="s">
        <v>743</v>
      </c>
      <c r="B12" s="276">
        <f>AD11</f>
        <v>26288964.96494684</v>
      </c>
      <c r="C12" s="282"/>
      <c r="D12" s="282"/>
      <c r="J12" s="230" t="s">
        <v>744</v>
      </c>
      <c r="K12" s="230"/>
      <c r="L12" s="230" t="s">
        <v>745</v>
      </c>
      <c r="M12" s="230"/>
      <c r="N12" s="226" t="s">
        <v>744</v>
      </c>
      <c r="O12" s="229" t="s">
        <v>745</v>
      </c>
      <c r="AB12" s="283" t="s">
        <v>744</v>
      </c>
    </row>
    <row r="13">
      <c r="B13" s="284"/>
      <c r="C13" s="285"/>
      <c r="D13" s="285"/>
      <c r="S13" s="229"/>
    </row>
    <row r="14">
      <c r="B14" s="284"/>
      <c r="C14" s="285"/>
      <c r="D14" s="285"/>
    </row>
    <row r="15">
      <c r="B15" s="284"/>
      <c r="C15" s="285"/>
      <c r="D15" s="285"/>
      <c r="S15" s="229"/>
    </row>
    <row r="16" ht="30.75" customHeight="1">
      <c r="B16" s="284"/>
      <c r="F16" s="229"/>
      <c r="J16" s="256" t="s">
        <v>746</v>
      </c>
      <c r="K16" s="256"/>
      <c r="L16" s="256" t="s">
        <v>747</v>
      </c>
      <c r="M16" s="256"/>
      <c r="N16" s="286" t="s">
        <v>748</v>
      </c>
      <c r="O16" s="286"/>
      <c r="P16" s="256" t="s">
        <v>30</v>
      </c>
    </row>
    <row r="17" ht="14.25">
      <c r="J17" s="287" t="s">
        <v>749</v>
      </c>
      <c r="K17" s="287"/>
      <c r="L17" s="287">
        <v>3129</v>
      </c>
      <c r="M17" s="287"/>
      <c r="N17" s="288">
        <v>500</v>
      </c>
      <c r="O17" s="288"/>
      <c r="P17" s="288">
        <f>L17*N17</f>
        <v>1564500</v>
      </c>
    </row>
    <row r="18" ht="14.25">
      <c r="J18" s="289" t="s">
        <v>100</v>
      </c>
      <c r="K18" s="289"/>
      <c r="L18" s="289"/>
      <c r="M18" s="289"/>
      <c r="N18" s="290">
        <f>SUM(N17:N17)</f>
        <v>500</v>
      </c>
      <c r="O18" s="290"/>
      <c r="P18" s="290">
        <f>SUM(P17:P17)</f>
        <v>1564500</v>
      </c>
    </row>
    <row r="19" ht="14.25">
      <c r="A19" s="291" t="s">
        <v>750</v>
      </c>
      <c r="B19" s="292"/>
      <c r="C19" s="293" t="s">
        <v>751</v>
      </c>
      <c r="D19" s="293" t="s">
        <v>752</v>
      </c>
    </row>
    <row r="20" ht="14.25">
      <c r="A20" s="294" t="s">
        <v>753</v>
      </c>
      <c r="B20" s="294"/>
      <c r="C20" s="295">
        <f>N11+P11+R11+S11+T11+U11+V11+X11+AA11</f>
        <v>13248830.428287895</v>
      </c>
      <c r="D20" s="295">
        <f>C20*1.2</f>
        <v>15898596.513945473</v>
      </c>
    </row>
    <row r="21" ht="14.25">
      <c r="A21" s="294" t="s">
        <v>754</v>
      </c>
      <c r="B21" s="294"/>
      <c r="C21" s="295">
        <f>I11</f>
        <v>5799619.1386000002</v>
      </c>
      <c r="D21" s="295">
        <f>C21</f>
        <v>5799619.1386000002</v>
      </c>
    </row>
    <row r="22" ht="14.25">
      <c r="A22" s="294" t="s">
        <v>723</v>
      </c>
      <c r="B22" s="294"/>
      <c r="C22" s="295">
        <f>J11</f>
        <v>1060000</v>
      </c>
      <c r="D22" s="295">
        <f t="shared" ref="D22:D23" si="71">C22*1.2</f>
        <v>1272000</v>
      </c>
    </row>
    <row r="23" ht="14.25">
      <c r="A23" s="294" t="s">
        <v>710</v>
      </c>
      <c r="B23" s="294"/>
      <c r="C23" s="295">
        <f>K11</f>
        <v>429711.45625617646</v>
      </c>
      <c r="D23" s="295">
        <f t="shared" si="71"/>
        <v>515653.74750741175</v>
      </c>
    </row>
    <row r="24" ht="31.600000000000001" customHeight="1">
      <c r="A24" s="294" t="s">
        <v>724</v>
      </c>
      <c r="B24" s="294"/>
      <c r="C24" s="295">
        <f>L11</f>
        <v>275873.5</v>
      </c>
      <c r="D24" s="295">
        <f t="shared" ref="D24:D26" si="72">C24</f>
        <v>275873.5</v>
      </c>
      <c r="H24" s="230"/>
      <c r="I24" s="230"/>
      <c r="J24" s="226"/>
      <c r="K24" s="226"/>
      <c r="L24" s="226"/>
    </row>
    <row r="25" ht="14.25">
      <c r="A25" s="294" t="s">
        <v>725</v>
      </c>
      <c r="B25" s="294"/>
      <c r="C25" s="295">
        <f>M11</f>
        <v>1564499.9999999998</v>
      </c>
      <c r="D25" s="295">
        <f t="shared" si="72"/>
        <v>1564499.9999999998</v>
      </c>
      <c r="H25" s="230"/>
      <c r="I25" s="230"/>
      <c r="J25" s="226"/>
      <c r="K25" s="226"/>
      <c r="L25" s="226"/>
    </row>
    <row r="26" ht="14.25">
      <c r="A26" s="294" t="s">
        <v>727</v>
      </c>
      <c r="B26" s="294"/>
      <c r="C26" s="295">
        <f>O11</f>
        <v>0</v>
      </c>
      <c r="D26" s="295">
        <f t="shared" si="72"/>
        <v>0</v>
      </c>
      <c r="H26" s="230"/>
      <c r="I26" s="230"/>
      <c r="J26" s="226"/>
      <c r="K26" s="226"/>
      <c r="L26" s="226"/>
    </row>
    <row r="27" ht="30.75" customHeight="1">
      <c r="A27" s="294" t="s">
        <v>732</v>
      </c>
      <c r="B27" s="294"/>
      <c r="C27" s="295">
        <f>Z11</f>
        <v>497500.91850802011</v>
      </c>
      <c r="D27" s="295">
        <f t="shared" ref="D27:D28" si="73">C27*1.2</f>
        <v>597001.10220962414</v>
      </c>
      <c r="G27" s="296"/>
    </row>
    <row r="28" ht="14.25">
      <c r="A28" s="294" t="s">
        <v>110</v>
      </c>
      <c r="B28" s="294"/>
      <c r="C28" s="295">
        <f>Y11</f>
        <v>304767.46890361333</v>
      </c>
      <c r="D28" s="295">
        <f t="shared" si="73"/>
        <v>365720.962684336</v>
      </c>
      <c r="G28" s="296"/>
    </row>
    <row r="29" ht="14.25">
      <c r="A29" s="291" t="s">
        <v>100</v>
      </c>
      <c r="B29" s="292"/>
      <c r="C29" s="295">
        <f>SUM(C20:C28)</f>
        <v>23180802.910555705</v>
      </c>
      <c r="D29" s="295">
        <f>SUM(D20:D28)</f>
        <v>26288964.964946847</v>
      </c>
      <c r="G29" s="296"/>
    </row>
    <row r="30">
      <c r="D30" s="297"/>
      <c r="E30" s="297"/>
    </row>
    <row r="32">
      <c r="D32" s="297"/>
      <c r="E32" s="297"/>
    </row>
    <row r="33">
      <c r="E33" s="229"/>
    </row>
    <row r="74" ht="12.75">
      <c r="H74" s="230">
        <v>7.7693817468105983</v>
      </c>
      <c r="I74" s="230">
        <v>5799619.1386000002</v>
      </c>
      <c r="J74" s="226">
        <v>1060000</v>
      </c>
      <c r="K74" s="226">
        <v>517898.11499999999</v>
      </c>
      <c r="L74" s="226">
        <v>200000</v>
      </c>
    </row>
    <row r="77">
      <c r="G77" s="229">
        <v>15834</v>
      </c>
      <c r="M77" s="226">
        <v>1408400</v>
      </c>
      <c r="N77" s="226">
        <v>1883000</v>
      </c>
      <c r="O77" s="226">
        <v>0</v>
      </c>
      <c r="P77" s="226">
        <v>4715199.7866666671</v>
      </c>
      <c r="Q77" s="226">
        <v>2038</v>
      </c>
      <c r="R77" s="226">
        <v>1196905.8466666669</v>
      </c>
      <c r="S77" s="229">
        <v>56262.833333333328</v>
      </c>
      <c r="T77" s="226">
        <v>120588.33333333334</v>
      </c>
      <c r="U77" s="226">
        <v>179611.66666666669</v>
      </c>
      <c r="V77" s="226">
        <v>27970</v>
      </c>
      <c r="W77" s="226">
        <v>0</v>
      </c>
      <c r="X77" s="226">
        <v>360430.83333333337</v>
      </c>
      <c r="Y77" s="226">
        <v>861657.20000000007</v>
      </c>
      <c r="Z77" s="230">
        <v>336659.80000000005</v>
      </c>
      <c r="AA77" s="230">
        <v>0</v>
      </c>
      <c r="AB77" s="226">
        <v>7855286.3000000007</v>
      </c>
      <c r="AC77" s="226">
        <v>18724203.553600002</v>
      </c>
      <c r="AD77" s="226">
        <v>21269120.4366</v>
      </c>
    </row>
  </sheetData>
  <mergeCells count="51">
    <mergeCell ref="A1:Z1"/>
    <mergeCell ref="A3:A5"/>
    <mergeCell ref="B3:B5"/>
    <mergeCell ref="C3:C5"/>
    <mergeCell ref="D3:D5"/>
    <mergeCell ref="E3:E5"/>
    <mergeCell ref="F3:F4"/>
    <mergeCell ref="G3:G5"/>
    <mergeCell ref="H3:H5"/>
    <mergeCell ref="I3:AB3"/>
    <mergeCell ref="AC3:AC5"/>
    <mergeCell ref="AD3:AD5"/>
    <mergeCell ref="I4:I5"/>
    <mergeCell ref="J4:J5"/>
    <mergeCell ref="K4:K5"/>
    <mergeCell ref="L4:L5"/>
    <mergeCell ref="M4:M5"/>
    <mergeCell ref="N4:N5"/>
    <mergeCell ref="O4:O5"/>
    <mergeCell ref="P4:Q4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C12:D12"/>
    <mergeCell ref="J12:K12"/>
    <mergeCell ref="L12:M12"/>
    <mergeCell ref="C13:D13"/>
    <mergeCell ref="J16:K16"/>
    <mergeCell ref="L16:M16"/>
    <mergeCell ref="J17:K17"/>
    <mergeCell ref="L17:M17"/>
    <mergeCell ref="J18:M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</mergeCells>
  <printOptions headings="0" gridLines="0"/>
  <pageMargins left="0" right="0" top="0" bottom="0" header="0" footer="0"/>
  <pageSetup paperSize="9" scale="53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2"/>
    <outlinePr applyStyles="0" summaryBelow="1" summaryRight="1" showOutlineSymbols="1"/>
    <pageSetUpPr autoPageBreaks="1" fitToPage="0"/>
  </sheetPr>
  <sheetViews>
    <sheetView topLeftCell="A166" zoomScale="100" workbookViewId="0">
      <selection activeCell="G186" activeCellId="0" sqref="G186"/>
    </sheetView>
  </sheetViews>
  <sheetFormatPr defaultColWidth="9.125" defaultRowHeight="12.75"/>
  <cols>
    <col customWidth="1" min="1" max="1" style="1" width="3.75"/>
    <col customWidth="1" min="2" max="2" style="1" width="90.25"/>
    <col customWidth="1" min="3" max="3" style="1" width="31.875"/>
    <col customWidth="1" min="4" max="4" style="1" width="10.125"/>
    <col customWidth="1" min="5" max="5" style="1" width="9.625"/>
    <col min="6" max="7" style="1" width="9.125"/>
    <col customWidth="1" min="8" max="9" style="1" width="9"/>
    <col customWidth="1" min="10" max="10" style="1" width="11.125"/>
    <col customWidth="1" min="11" max="11" style="1" width="17.25"/>
    <col customWidth="1" hidden="1" min="12" max="12" style="1" width="12.375"/>
    <col customWidth="1" hidden="1" min="13" max="13" style="1" width="13.375"/>
    <col customWidth="1" hidden="1" min="14" max="14" style="1" width="12.875"/>
    <col customWidth="1" hidden="1" min="15" max="15" style="1" width="10.625"/>
    <col customWidth="1" hidden="1" min="16" max="18" style="1" width="0"/>
    <col min="19" max="16384" style="1" width="9.125"/>
  </cols>
  <sheetData>
    <row r="1">
      <c r="B1" s="298" t="s">
        <v>755</v>
      </c>
      <c r="C1" s="298"/>
      <c r="D1" s="298"/>
      <c r="E1" s="298"/>
      <c r="F1" s="298"/>
      <c r="G1" s="298"/>
      <c r="H1" s="298"/>
      <c r="I1" s="298"/>
    </row>
    <row r="2">
      <c r="J2" s="1">
        <v>1.0469999999999999</v>
      </c>
    </row>
    <row r="3" ht="57.100000000000001">
      <c r="A3" s="21" t="s">
        <v>240</v>
      </c>
      <c r="B3" s="21" t="s">
        <v>19</v>
      </c>
      <c r="C3" s="299" t="s">
        <v>756</v>
      </c>
      <c r="D3" s="299" t="s">
        <v>757</v>
      </c>
      <c r="E3" s="299" t="s">
        <v>758</v>
      </c>
      <c r="F3" s="299"/>
      <c r="G3" s="299" t="s">
        <v>114</v>
      </c>
      <c r="H3" s="299" t="s">
        <v>759</v>
      </c>
      <c r="I3" s="299" t="s">
        <v>760</v>
      </c>
      <c r="J3" s="299" t="s">
        <v>761</v>
      </c>
      <c r="K3" s="299" t="s">
        <v>762</v>
      </c>
      <c r="L3" s="300" t="s">
        <v>763</v>
      </c>
      <c r="M3" s="300" t="s">
        <v>157</v>
      </c>
      <c r="N3" s="300" t="s">
        <v>764</v>
      </c>
    </row>
    <row r="4" ht="28.550000000000001">
      <c r="A4" s="301">
        <v>1</v>
      </c>
      <c r="B4" s="302" t="s">
        <v>765</v>
      </c>
      <c r="C4" s="303" t="s">
        <v>33</v>
      </c>
      <c r="D4" s="304">
        <v>108</v>
      </c>
      <c r="E4" s="305" t="s">
        <v>766</v>
      </c>
      <c r="F4" s="306"/>
      <c r="G4" s="306">
        <v>110</v>
      </c>
      <c r="H4" s="306" t="s">
        <v>35</v>
      </c>
      <c r="I4" s="306">
        <f t="shared" ref="I4:I67" si="74">J4*$J$2</f>
        <v>2976.9665099999997</v>
      </c>
      <c r="J4" s="307">
        <v>2843.3299999999999</v>
      </c>
      <c r="K4" s="308">
        <f t="shared" ref="K4:K67" si="75">G4*I4</f>
        <v>327466.3161</v>
      </c>
      <c r="L4" s="1">
        <f t="shared" ref="L4:L67" si="76">K4/$K$182</f>
        <v>0.033298887097188049</v>
      </c>
      <c r="M4" s="309">
        <f t="shared" ref="M4:M67" si="77">L4*2645000*1.047</f>
        <v>92215.107521549318</v>
      </c>
      <c r="N4" s="309">
        <f t="shared" ref="N4:N67" si="78">K4+M4</f>
        <v>419681.42362154933</v>
      </c>
    </row>
    <row r="5" ht="28.550000000000001">
      <c r="A5" s="310"/>
      <c r="B5" s="302" t="s">
        <v>765</v>
      </c>
      <c r="C5" s="303" t="s">
        <v>33</v>
      </c>
      <c r="D5" s="304">
        <v>89</v>
      </c>
      <c r="E5" s="305" t="s">
        <v>766</v>
      </c>
      <c r="F5" s="306"/>
      <c r="G5" s="306">
        <v>72</v>
      </c>
      <c r="H5" s="306" t="s">
        <v>35</v>
      </c>
      <c r="I5" s="306">
        <f t="shared" si="74"/>
        <v>1423.05099</v>
      </c>
      <c r="J5" s="311">
        <v>1359.1700000000001</v>
      </c>
      <c r="K5" s="308">
        <f t="shared" si="75"/>
        <v>102459.67128</v>
      </c>
      <c r="L5" s="1">
        <f t="shared" si="76"/>
        <v>0.010418760215099023</v>
      </c>
      <c r="M5" s="309">
        <f t="shared" si="77"/>
        <v>28852.828945076948</v>
      </c>
      <c r="N5" s="309">
        <f t="shared" si="78"/>
        <v>131312.50022507695</v>
      </c>
    </row>
    <row r="6" ht="28.550000000000001">
      <c r="A6" s="310"/>
      <c r="B6" s="302" t="s">
        <v>765</v>
      </c>
      <c r="C6" s="303" t="s">
        <v>767</v>
      </c>
      <c r="D6" s="304">
        <v>89</v>
      </c>
      <c r="E6" s="305" t="s">
        <v>766</v>
      </c>
      <c r="F6" s="306" t="s">
        <v>768</v>
      </c>
      <c r="G6" s="306">
        <v>4</v>
      </c>
      <c r="H6" s="306" t="s">
        <v>39</v>
      </c>
      <c r="I6" s="306">
        <f t="shared" si="74"/>
        <v>8424.8530199999987</v>
      </c>
      <c r="J6" s="307">
        <v>8046.6599999999999</v>
      </c>
      <c r="K6" s="308">
        <f t="shared" si="75"/>
        <v>33699.412079999995</v>
      </c>
      <c r="L6" s="1">
        <f t="shared" si="76"/>
        <v>0.0034267735731050202</v>
      </c>
      <c r="M6" s="309">
        <f t="shared" si="77"/>
        <v>9489.8154576033266</v>
      </c>
      <c r="N6" s="309">
        <f t="shared" si="78"/>
        <v>43189.227537603321</v>
      </c>
    </row>
    <row r="7" ht="28.550000000000001">
      <c r="A7" s="310"/>
      <c r="B7" s="302" t="s">
        <v>765</v>
      </c>
      <c r="C7" s="303" t="s">
        <v>767</v>
      </c>
      <c r="D7" s="304">
        <v>50</v>
      </c>
      <c r="E7" s="305" t="s">
        <v>769</v>
      </c>
      <c r="F7" s="306"/>
      <c r="G7" s="306">
        <v>2</v>
      </c>
      <c r="H7" s="306" t="s">
        <v>39</v>
      </c>
      <c r="I7" s="306">
        <f t="shared" si="74"/>
        <v>1155.8879999999999</v>
      </c>
      <c r="J7" s="307">
        <v>1104</v>
      </c>
      <c r="K7" s="308">
        <f t="shared" si="75"/>
        <v>2311.7759999999998</v>
      </c>
      <c r="L7" s="1">
        <f t="shared" si="76"/>
        <v>0.00023507629405914641</v>
      </c>
      <c r="M7" s="309">
        <f t="shared" si="77"/>
        <v>651.00030728240495</v>
      </c>
      <c r="N7" s="309">
        <f t="shared" si="78"/>
        <v>2962.7763072824046</v>
      </c>
    </row>
    <row r="8" ht="28.550000000000001">
      <c r="A8" s="310"/>
      <c r="B8" s="302" t="s">
        <v>765</v>
      </c>
      <c r="C8" s="303" t="s">
        <v>129</v>
      </c>
      <c r="D8" s="304" t="s">
        <v>770</v>
      </c>
      <c r="E8" s="305" t="s">
        <v>766</v>
      </c>
      <c r="F8" s="306"/>
      <c r="G8" s="306">
        <v>2</v>
      </c>
      <c r="H8" s="306" t="s">
        <v>39</v>
      </c>
      <c r="I8" s="306">
        <f t="shared" si="74"/>
        <v>3982.0865099999996</v>
      </c>
      <c r="J8" s="307">
        <v>3803.3299999999999</v>
      </c>
      <c r="K8" s="308">
        <f t="shared" si="75"/>
        <v>7964.1730199999993</v>
      </c>
      <c r="L8" s="1">
        <f t="shared" si="76"/>
        <v>0.00080984847960504833</v>
      </c>
      <c r="M8" s="309">
        <f t="shared" si="77"/>
        <v>2242.725542297454</v>
      </c>
      <c r="N8" s="309">
        <f t="shared" si="78"/>
        <v>10206.898562297454</v>
      </c>
    </row>
    <row r="9" ht="14.949999999999999" customHeight="1">
      <c r="A9" s="310"/>
      <c r="B9" s="302" t="s">
        <v>765</v>
      </c>
      <c r="C9" s="303" t="s">
        <v>129</v>
      </c>
      <c r="D9" s="304" t="s">
        <v>236</v>
      </c>
      <c r="E9" s="305" t="s">
        <v>766</v>
      </c>
      <c r="F9" s="306"/>
      <c r="G9" s="306">
        <v>2</v>
      </c>
      <c r="H9" s="306" t="s">
        <v>39</v>
      </c>
      <c r="I9" s="306">
        <f t="shared" si="74"/>
        <v>3967.2505199999996</v>
      </c>
      <c r="J9" s="307">
        <v>3789.1599999999999</v>
      </c>
      <c r="K9" s="308">
        <f t="shared" si="75"/>
        <v>7934.5010399999992</v>
      </c>
      <c r="L9" s="1">
        <f t="shared" si="76"/>
        <v>0.00080683124130177103</v>
      </c>
      <c r="M9" s="309">
        <f t="shared" si="77"/>
        <v>2234.3698590056138</v>
      </c>
      <c r="N9" s="309">
        <f t="shared" si="78"/>
        <v>10168.870899005613</v>
      </c>
    </row>
    <row r="10" ht="28.550000000000001">
      <c r="A10" s="310"/>
      <c r="B10" s="302" t="s">
        <v>765</v>
      </c>
      <c r="C10" s="303" t="s">
        <v>190</v>
      </c>
      <c r="D10" s="304" t="s">
        <v>770</v>
      </c>
      <c r="E10" s="305" t="s">
        <v>766</v>
      </c>
      <c r="F10" s="306"/>
      <c r="G10" s="306">
        <v>1</v>
      </c>
      <c r="H10" s="306" t="s">
        <v>39</v>
      </c>
      <c r="I10" s="306">
        <f t="shared" si="74"/>
        <v>12187.08</v>
      </c>
      <c r="J10" s="307">
        <v>11640</v>
      </c>
      <c r="K10" s="308">
        <f t="shared" si="75"/>
        <v>12187.08</v>
      </c>
      <c r="L10" s="1">
        <f t="shared" si="76"/>
        <v>0.001239260898029196</v>
      </c>
      <c r="M10" s="309">
        <f t="shared" si="77"/>
        <v>3431.9037938257229</v>
      </c>
      <c r="N10" s="309">
        <f t="shared" si="78"/>
        <v>15618.983793825722</v>
      </c>
    </row>
    <row r="11" ht="28.550000000000001">
      <c r="A11" s="310"/>
      <c r="B11" s="302" t="s">
        <v>765</v>
      </c>
      <c r="C11" s="303" t="s">
        <v>201</v>
      </c>
      <c r="D11" s="304" t="s">
        <v>770</v>
      </c>
      <c r="E11" s="305" t="s">
        <v>766</v>
      </c>
      <c r="F11" s="306"/>
      <c r="G11" s="306">
        <v>1</v>
      </c>
      <c r="H11" s="306" t="s">
        <v>39</v>
      </c>
      <c r="I11" s="306">
        <f t="shared" si="74"/>
        <v>17065.23099</v>
      </c>
      <c r="J11" s="307">
        <v>16299.17</v>
      </c>
      <c r="K11" s="308">
        <f t="shared" si="75"/>
        <v>17065.23099</v>
      </c>
      <c r="L11" s="1">
        <f t="shared" si="76"/>
        <v>0.0017353027535507329</v>
      </c>
      <c r="M11" s="309">
        <f t="shared" si="77"/>
        <v>4805.5999449493474</v>
      </c>
      <c r="N11" s="309">
        <f t="shared" si="78"/>
        <v>21870.830934949347</v>
      </c>
    </row>
    <row r="12" ht="28.550000000000001">
      <c r="A12" s="310"/>
      <c r="B12" s="302" t="s">
        <v>765</v>
      </c>
      <c r="C12" s="303" t="s">
        <v>771</v>
      </c>
      <c r="D12" s="304">
        <v>80</v>
      </c>
      <c r="E12" s="305"/>
      <c r="F12" s="306"/>
      <c r="G12" s="306">
        <v>2</v>
      </c>
      <c r="H12" s="306" t="s">
        <v>39</v>
      </c>
      <c r="I12" s="306">
        <f t="shared" si="74"/>
        <v>11888.946749999999</v>
      </c>
      <c r="J12" s="307">
        <v>11355.25</v>
      </c>
      <c r="K12" s="308">
        <f t="shared" si="75"/>
        <v>23777.893499999998</v>
      </c>
      <c r="M12" s="309">
        <f t="shared" si="77"/>
        <v>0</v>
      </c>
      <c r="N12" s="309">
        <f t="shared" si="78"/>
        <v>23777.893499999998</v>
      </c>
    </row>
    <row r="13" ht="28.550000000000001">
      <c r="A13" s="310"/>
      <c r="B13" s="302" t="s">
        <v>765</v>
      </c>
      <c r="C13" s="303" t="s">
        <v>771</v>
      </c>
      <c r="D13" s="304">
        <v>50</v>
      </c>
      <c r="E13" s="305"/>
      <c r="F13" s="306"/>
      <c r="G13" s="306">
        <v>2</v>
      </c>
      <c r="H13" s="306" t="s">
        <v>39</v>
      </c>
      <c r="I13" s="306">
        <f t="shared" si="74"/>
        <v>6238.0259999999998</v>
      </c>
      <c r="J13" s="307">
        <v>5958</v>
      </c>
      <c r="K13" s="308">
        <f t="shared" si="75"/>
        <v>12476.052</v>
      </c>
      <c r="M13" s="309">
        <f t="shared" si="77"/>
        <v>0</v>
      </c>
      <c r="N13" s="309">
        <f t="shared" si="78"/>
        <v>12476.052</v>
      </c>
    </row>
    <row r="14" ht="22.75" customHeight="1">
      <c r="A14" s="310"/>
      <c r="B14" s="302" t="s">
        <v>765</v>
      </c>
      <c r="C14" s="31" t="s">
        <v>137</v>
      </c>
      <c r="D14" s="304"/>
      <c r="E14" s="312" t="s">
        <v>772</v>
      </c>
      <c r="F14" s="306"/>
      <c r="G14" s="306">
        <v>4</v>
      </c>
      <c r="H14" s="306" t="s">
        <v>773</v>
      </c>
      <c r="I14" s="306">
        <f t="shared" si="74"/>
        <v>1063.752</v>
      </c>
      <c r="J14" s="307">
        <v>1016</v>
      </c>
      <c r="K14" s="308">
        <f t="shared" si="75"/>
        <v>4255.0079999999998</v>
      </c>
      <c r="M14" s="309">
        <f t="shared" si="77"/>
        <v>0</v>
      </c>
      <c r="N14" s="309">
        <f t="shared" si="78"/>
        <v>4255.0079999999998</v>
      </c>
    </row>
    <row r="15" ht="28.550000000000001">
      <c r="A15" s="310"/>
      <c r="B15" s="302" t="s">
        <v>765</v>
      </c>
      <c r="C15" s="31" t="s">
        <v>140</v>
      </c>
      <c r="D15" s="304"/>
      <c r="E15" s="312" t="s">
        <v>774</v>
      </c>
      <c r="F15" s="306"/>
      <c r="G15" s="306">
        <v>1</v>
      </c>
      <c r="H15" s="306" t="s">
        <v>773</v>
      </c>
      <c r="I15" s="306">
        <f t="shared" si="74"/>
        <v>2837.3699999999999</v>
      </c>
      <c r="J15" s="307">
        <v>2710</v>
      </c>
      <c r="K15" s="308">
        <f t="shared" si="75"/>
        <v>2837.3699999999999</v>
      </c>
      <c r="M15" s="309">
        <f t="shared" si="77"/>
        <v>0</v>
      </c>
      <c r="N15" s="309">
        <f t="shared" si="78"/>
        <v>2837.3699999999999</v>
      </c>
    </row>
    <row r="16" ht="28.550000000000001">
      <c r="A16" s="310"/>
      <c r="B16" s="302" t="s">
        <v>765</v>
      </c>
      <c r="C16" s="303" t="s">
        <v>75</v>
      </c>
      <c r="D16" s="304">
        <v>3.2000000000000002</v>
      </c>
      <c r="E16" s="305"/>
      <c r="F16" s="306"/>
      <c r="G16" s="306">
        <v>17</v>
      </c>
      <c r="H16" s="306" t="s">
        <v>76</v>
      </c>
      <c r="I16" s="306">
        <f t="shared" si="74"/>
        <v>593.3034899999999</v>
      </c>
      <c r="J16" s="307">
        <v>566.66999999999996</v>
      </c>
      <c r="K16" s="308">
        <f t="shared" si="75"/>
        <v>10086.159329999999</v>
      </c>
      <c r="M16" s="309">
        <f t="shared" si="77"/>
        <v>0</v>
      </c>
      <c r="N16" s="309">
        <f t="shared" si="78"/>
        <v>10086.159329999999</v>
      </c>
    </row>
    <row r="17" ht="28.550000000000001">
      <c r="A17" s="310"/>
      <c r="B17" s="302" t="s">
        <v>765</v>
      </c>
      <c r="C17" s="303" t="s">
        <v>75</v>
      </c>
      <c r="D17" s="304">
        <v>2.5</v>
      </c>
      <c r="E17" s="305"/>
      <c r="F17" s="306"/>
      <c r="G17" s="306">
        <v>17</v>
      </c>
      <c r="H17" s="306" t="s">
        <v>76</v>
      </c>
      <c r="I17" s="306">
        <f t="shared" si="74"/>
        <v>672.41480999999999</v>
      </c>
      <c r="J17" s="307">
        <v>642.23000000000002</v>
      </c>
      <c r="K17" s="308">
        <f t="shared" si="75"/>
        <v>11431.05177</v>
      </c>
      <c r="M17" s="309">
        <f t="shared" si="77"/>
        <v>0</v>
      </c>
      <c r="N17" s="309">
        <f t="shared" si="78"/>
        <v>11431.05177</v>
      </c>
    </row>
    <row r="18" ht="28.550000000000001">
      <c r="A18" s="310"/>
      <c r="B18" s="302" t="s">
        <v>765</v>
      </c>
      <c r="C18" s="304" t="s">
        <v>145</v>
      </c>
      <c r="D18" s="304">
        <v>125</v>
      </c>
      <c r="E18" s="305"/>
      <c r="F18" s="306"/>
      <c r="G18" s="306">
        <v>170</v>
      </c>
      <c r="H18" s="306" t="s">
        <v>39</v>
      </c>
      <c r="I18" s="306">
        <f t="shared" si="74"/>
        <v>93.182999999999993</v>
      </c>
      <c r="J18" s="307">
        <v>89</v>
      </c>
      <c r="K18" s="308">
        <f t="shared" si="75"/>
        <v>15841.109999999999</v>
      </c>
      <c r="M18" s="309">
        <f t="shared" si="77"/>
        <v>0</v>
      </c>
      <c r="N18" s="309">
        <f t="shared" si="78"/>
        <v>15841.109999999999</v>
      </c>
    </row>
    <row r="19" ht="28.550000000000001">
      <c r="A19" s="310"/>
      <c r="B19" s="302" t="s">
        <v>765</v>
      </c>
      <c r="C19" s="304" t="s">
        <v>147</v>
      </c>
      <c r="D19" s="304">
        <v>230</v>
      </c>
      <c r="E19" s="305"/>
      <c r="F19" s="306"/>
      <c r="G19" s="306">
        <v>42</v>
      </c>
      <c r="H19" s="306" t="s">
        <v>39</v>
      </c>
      <c r="I19" s="306">
        <f t="shared" si="74"/>
        <v>130.875</v>
      </c>
      <c r="J19" s="307">
        <v>125</v>
      </c>
      <c r="K19" s="308">
        <f t="shared" si="75"/>
        <v>5496.75</v>
      </c>
      <c r="M19" s="309">
        <f t="shared" si="77"/>
        <v>0</v>
      </c>
      <c r="N19" s="309">
        <f t="shared" si="78"/>
        <v>5496.75</v>
      </c>
    </row>
    <row r="20" ht="28.550000000000001">
      <c r="A20" s="310"/>
      <c r="B20" s="302" t="s">
        <v>765</v>
      </c>
      <c r="C20" s="303" t="s">
        <v>775</v>
      </c>
      <c r="D20" s="304" t="s">
        <v>776</v>
      </c>
      <c r="E20" s="305"/>
      <c r="F20" s="306"/>
      <c r="G20" s="306">
        <v>8</v>
      </c>
      <c r="H20" s="306" t="s">
        <v>39</v>
      </c>
      <c r="I20" s="306">
        <f t="shared" si="74"/>
        <v>120.40499999999999</v>
      </c>
      <c r="J20" s="307">
        <v>115</v>
      </c>
      <c r="K20" s="308">
        <f t="shared" si="75"/>
        <v>963.2399999999999</v>
      </c>
      <c r="M20" s="309">
        <f t="shared" si="77"/>
        <v>0</v>
      </c>
      <c r="N20" s="309">
        <f t="shared" si="78"/>
        <v>963.2399999999999</v>
      </c>
    </row>
    <row r="21" ht="28.550000000000001">
      <c r="A21" s="310"/>
      <c r="B21" s="302" t="s">
        <v>765</v>
      </c>
      <c r="C21" s="303" t="s">
        <v>151</v>
      </c>
      <c r="D21" s="304">
        <v>108</v>
      </c>
      <c r="E21" s="305" t="s">
        <v>766</v>
      </c>
      <c r="F21" s="306"/>
      <c r="G21" s="306">
        <v>20</v>
      </c>
      <c r="H21" s="306" t="s">
        <v>39</v>
      </c>
      <c r="I21" s="306">
        <f t="shared" si="74"/>
        <v>795.71999999999991</v>
      </c>
      <c r="J21" s="307">
        <v>760</v>
      </c>
      <c r="K21" s="308">
        <f t="shared" si="75"/>
        <v>15914.399999999998</v>
      </c>
      <c r="L21" s="1">
        <f t="shared" si="76"/>
        <v>0.0016182788359144138</v>
      </c>
      <c r="M21" s="309">
        <f t="shared" si="77"/>
        <v>4481.5238544803242</v>
      </c>
      <c r="N21" s="309">
        <f t="shared" si="78"/>
        <v>20395.923854480323</v>
      </c>
    </row>
    <row r="22" ht="28.550000000000001">
      <c r="A22" s="310"/>
      <c r="B22" s="302" t="s">
        <v>765</v>
      </c>
      <c r="C22" s="303" t="s">
        <v>151</v>
      </c>
      <c r="D22" s="304">
        <v>89</v>
      </c>
      <c r="E22" s="305" t="s">
        <v>766</v>
      </c>
      <c r="F22" s="306"/>
      <c r="G22" s="306">
        <v>20</v>
      </c>
      <c r="H22" s="306" t="s">
        <v>39</v>
      </c>
      <c r="I22" s="306">
        <f t="shared" si="74"/>
        <v>705.01838999999995</v>
      </c>
      <c r="J22" s="307">
        <v>673.37</v>
      </c>
      <c r="K22" s="308">
        <f t="shared" si="75"/>
        <v>14100.3678</v>
      </c>
      <c r="L22" s="1">
        <f t="shared" si="76"/>
        <v>0.0014338163417627486</v>
      </c>
      <c r="M22" s="309">
        <f t="shared" si="77"/>
        <v>3970.6891024887059</v>
      </c>
      <c r="N22" s="309">
        <f t="shared" si="78"/>
        <v>18071.056902488705</v>
      </c>
    </row>
    <row r="23" ht="28.550000000000001">
      <c r="A23" s="310"/>
      <c r="B23" s="302" t="s">
        <v>765</v>
      </c>
      <c r="C23" s="303" t="s">
        <v>151</v>
      </c>
      <c r="D23" s="304">
        <v>76</v>
      </c>
      <c r="E23" s="305" t="s">
        <v>766</v>
      </c>
      <c r="F23" s="306"/>
      <c r="G23" s="306">
        <v>2</v>
      </c>
      <c r="H23" s="306" t="s">
        <v>39</v>
      </c>
      <c r="I23" s="306">
        <f t="shared" si="74"/>
        <v>641.28749999999991</v>
      </c>
      <c r="J23" s="307">
        <v>612.5</v>
      </c>
      <c r="K23" s="308">
        <f t="shared" si="75"/>
        <v>1282.5749999999998</v>
      </c>
      <c r="L23" s="1">
        <f t="shared" si="76"/>
        <v>0.00013042049828915504</v>
      </c>
      <c r="M23" s="309">
        <f t="shared" si="77"/>
        <v>361.17544221963135</v>
      </c>
      <c r="N23" s="309">
        <f t="shared" si="78"/>
        <v>1643.7504422196312</v>
      </c>
    </row>
    <row r="24" ht="28.550000000000001">
      <c r="A24" s="310"/>
      <c r="B24" s="302" t="s">
        <v>765</v>
      </c>
      <c r="C24" s="303" t="s">
        <v>151</v>
      </c>
      <c r="D24" s="304">
        <v>57</v>
      </c>
      <c r="E24" s="305" t="s">
        <v>766</v>
      </c>
      <c r="F24" s="306"/>
      <c r="G24" s="306">
        <v>4</v>
      </c>
      <c r="H24" s="306" t="s">
        <v>39</v>
      </c>
      <c r="I24" s="306">
        <f t="shared" si="74"/>
        <v>554.90999999999997</v>
      </c>
      <c r="J24" s="307">
        <v>530</v>
      </c>
      <c r="K24" s="308">
        <f t="shared" si="75"/>
        <v>2219.6399999999999</v>
      </c>
      <c r="L24" s="1">
        <f t="shared" si="76"/>
        <v>0.00022570731132490508</v>
      </c>
      <c r="M24" s="309">
        <f t="shared" si="77"/>
        <v>625.05464286172946</v>
      </c>
      <c r="N24" s="309">
        <f t="shared" si="78"/>
        <v>2844.6946428617293</v>
      </c>
      <c r="O24" s="309">
        <f>SUM(M4:M24)</f>
        <v>153361.79441364054</v>
      </c>
    </row>
    <row r="25">
      <c r="A25" s="301">
        <v>2</v>
      </c>
      <c r="B25" s="301" t="s">
        <v>777</v>
      </c>
      <c r="C25" s="303" t="s">
        <v>33</v>
      </c>
      <c r="D25" s="304">
        <v>57</v>
      </c>
      <c r="E25" s="305" t="s">
        <v>778</v>
      </c>
      <c r="F25" s="306"/>
      <c r="G25" s="306">
        <v>10</v>
      </c>
      <c r="H25" s="306" t="s">
        <v>35</v>
      </c>
      <c r="I25" s="306">
        <f t="shared" si="74"/>
        <v>1251.165</v>
      </c>
      <c r="J25" s="307">
        <v>1195</v>
      </c>
      <c r="K25" s="308">
        <f t="shared" si="75"/>
        <v>12511.65</v>
      </c>
      <c r="L25" s="1">
        <f t="shared" si="76"/>
        <v>0.0012722652690248188</v>
      </c>
      <c r="M25" s="309">
        <f t="shared" si="77"/>
        <v>3523.3032934894654</v>
      </c>
      <c r="N25" s="309">
        <f t="shared" si="78"/>
        <v>16034.953293489465</v>
      </c>
    </row>
    <row r="26">
      <c r="A26" s="310"/>
      <c r="B26" s="301" t="s">
        <v>777</v>
      </c>
      <c r="C26" s="303" t="s">
        <v>33</v>
      </c>
      <c r="D26" s="304">
        <v>57</v>
      </c>
      <c r="E26" s="305" t="s">
        <v>766</v>
      </c>
      <c r="F26" s="306"/>
      <c r="G26" s="306">
        <v>46</v>
      </c>
      <c r="H26" s="306" t="s">
        <v>35</v>
      </c>
      <c r="I26" s="306">
        <f t="shared" si="74"/>
        <v>1662.9815099999998</v>
      </c>
      <c r="J26" s="307">
        <v>1588.3299999999999</v>
      </c>
      <c r="K26" s="308">
        <f t="shared" si="75"/>
        <v>76497.149459999986</v>
      </c>
      <c r="L26" s="1">
        <f t="shared" si="76"/>
        <v>0.0077787235446450838</v>
      </c>
      <c r="M26" s="309">
        <f t="shared" si="77"/>
        <v>21541.735793038799</v>
      </c>
      <c r="N26" s="309">
        <f t="shared" si="78"/>
        <v>98038.885253038781</v>
      </c>
    </row>
    <row r="27">
      <c r="A27" s="310"/>
      <c r="B27" s="301" t="s">
        <v>777</v>
      </c>
      <c r="C27" s="303" t="s">
        <v>767</v>
      </c>
      <c r="D27" s="304">
        <v>57</v>
      </c>
      <c r="E27" s="305" t="s">
        <v>778</v>
      </c>
      <c r="F27" s="306"/>
      <c r="G27" s="306">
        <v>4</v>
      </c>
      <c r="H27" s="306" t="s">
        <v>39</v>
      </c>
      <c r="I27" s="306">
        <f t="shared" si="74"/>
        <v>5271.6449999999995</v>
      </c>
      <c r="J27" s="311">
        <v>5035</v>
      </c>
      <c r="K27" s="308">
        <f t="shared" si="75"/>
        <v>21086.579999999998</v>
      </c>
      <c r="L27" s="1">
        <f t="shared" si="76"/>
        <v>0.0021442194575865981</v>
      </c>
      <c r="M27" s="309">
        <f t="shared" si="77"/>
        <v>5938.0191071864292</v>
      </c>
      <c r="N27" s="309">
        <f t="shared" si="78"/>
        <v>27024.599107186426</v>
      </c>
    </row>
    <row r="28">
      <c r="A28" s="310"/>
      <c r="B28" s="301" t="s">
        <v>777</v>
      </c>
      <c r="C28" s="303" t="s">
        <v>767</v>
      </c>
      <c r="D28" s="304">
        <v>57</v>
      </c>
      <c r="E28" s="305" t="s">
        <v>766</v>
      </c>
      <c r="F28" s="306"/>
      <c r="G28" s="306">
        <v>2</v>
      </c>
      <c r="H28" s="306" t="s">
        <v>39</v>
      </c>
      <c r="I28" s="306">
        <f t="shared" si="74"/>
        <v>5582.2584899999993</v>
      </c>
      <c r="J28" s="307">
        <v>5331.6700000000001</v>
      </c>
      <c r="K28" s="308">
        <f t="shared" si="75"/>
        <v>11164.516979999999</v>
      </c>
      <c r="L28" s="1">
        <f t="shared" si="76"/>
        <v>0.0011352800948789214</v>
      </c>
      <c r="M28" s="309">
        <f t="shared" si="77"/>
        <v>3143.9481959496197</v>
      </c>
      <c r="N28" s="309">
        <f t="shared" si="78"/>
        <v>14308.465175949619</v>
      </c>
    </row>
    <row r="29">
      <c r="A29" s="310"/>
      <c r="B29" s="301" t="s">
        <v>777</v>
      </c>
      <c r="C29" s="303" t="s">
        <v>767</v>
      </c>
      <c r="D29" s="304">
        <v>57</v>
      </c>
      <c r="E29" s="305" t="s">
        <v>769</v>
      </c>
      <c r="F29" s="306"/>
      <c r="G29" s="306">
        <v>4</v>
      </c>
      <c r="H29" s="306" t="s">
        <v>39</v>
      </c>
      <c r="I29" s="306">
        <f t="shared" si="74"/>
        <v>1155.8879999999999</v>
      </c>
      <c r="J29" s="307">
        <v>1104</v>
      </c>
      <c r="K29" s="308">
        <f t="shared" si="75"/>
        <v>4623.5519999999997</v>
      </c>
      <c r="L29" s="1">
        <f t="shared" si="76"/>
        <v>0.00047015258811829283</v>
      </c>
      <c r="M29" s="309">
        <f t="shared" si="77"/>
        <v>1302.0006145648099</v>
      </c>
      <c r="N29" s="309">
        <f t="shared" si="78"/>
        <v>5925.5526145648091</v>
      </c>
    </row>
    <row r="30">
      <c r="A30" s="310"/>
      <c r="B30" s="301" t="s">
        <v>777</v>
      </c>
      <c r="C30" s="303" t="s">
        <v>771</v>
      </c>
      <c r="D30" s="304">
        <v>50</v>
      </c>
      <c r="E30" s="305"/>
      <c r="F30" s="306"/>
      <c r="G30" s="306">
        <v>2</v>
      </c>
      <c r="H30" s="306" t="s">
        <v>39</v>
      </c>
      <c r="I30" s="306">
        <f t="shared" si="74"/>
        <v>6238.0259999999998</v>
      </c>
      <c r="J30" s="307">
        <v>5958</v>
      </c>
      <c r="K30" s="308">
        <f t="shared" si="75"/>
        <v>12476.052</v>
      </c>
      <c r="M30" s="309">
        <f t="shared" si="77"/>
        <v>0</v>
      </c>
      <c r="N30" s="309">
        <f t="shared" si="78"/>
        <v>12476.052</v>
      </c>
    </row>
    <row r="31" ht="26.149999999999999" customHeight="1">
      <c r="A31" s="310"/>
      <c r="B31" s="301" t="s">
        <v>777</v>
      </c>
      <c r="C31" s="31" t="s">
        <v>137</v>
      </c>
      <c r="D31" s="304"/>
      <c r="E31" s="312" t="s">
        <v>772</v>
      </c>
      <c r="F31" s="306"/>
      <c r="G31" s="306">
        <v>1</v>
      </c>
      <c r="H31" s="306" t="s">
        <v>773</v>
      </c>
      <c r="I31" s="306">
        <f t="shared" si="74"/>
        <v>1063.752</v>
      </c>
      <c r="J31" s="307">
        <v>1016</v>
      </c>
      <c r="K31" s="308">
        <f t="shared" si="75"/>
        <v>1063.752</v>
      </c>
      <c r="M31" s="309">
        <f t="shared" si="77"/>
        <v>0</v>
      </c>
      <c r="N31" s="309">
        <f t="shared" si="78"/>
        <v>1063.752</v>
      </c>
    </row>
    <row r="32" ht="28.550000000000001">
      <c r="A32" s="310"/>
      <c r="B32" s="301" t="s">
        <v>777</v>
      </c>
      <c r="C32" s="31" t="s">
        <v>140</v>
      </c>
      <c r="D32" s="304"/>
      <c r="E32" s="312" t="s">
        <v>774</v>
      </c>
      <c r="F32" s="306"/>
      <c r="G32" s="306">
        <v>1</v>
      </c>
      <c r="H32" s="306" t="s">
        <v>773</v>
      </c>
      <c r="I32" s="306">
        <f t="shared" si="74"/>
        <v>2837.3699999999999</v>
      </c>
      <c r="J32" s="307">
        <v>2710</v>
      </c>
      <c r="K32" s="308">
        <f t="shared" si="75"/>
        <v>2837.3699999999999</v>
      </c>
      <c r="M32" s="309">
        <f t="shared" si="77"/>
        <v>0</v>
      </c>
      <c r="N32" s="309">
        <f t="shared" si="78"/>
        <v>2837.3699999999999</v>
      </c>
    </row>
    <row r="33">
      <c r="A33" s="310"/>
      <c r="B33" s="301" t="s">
        <v>777</v>
      </c>
      <c r="C33" s="303" t="s">
        <v>75</v>
      </c>
      <c r="D33" s="304">
        <v>3.2000000000000002</v>
      </c>
      <c r="E33" s="305"/>
      <c r="F33" s="306"/>
      <c r="G33" s="306">
        <v>5</v>
      </c>
      <c r="H33" s="306" t="s">
        <v>76</v>
      </c>
      <c r="I33" s="306">
        <f t="shared" si="74"/>
        <v>593.3034899999999</v>
      </c>
      <c r="J33" s="307">
        <v>566.66999999999996</v>
      </c>
      <c r="K33" s="308">
        <f t="shared" si="75"/>
        <v>2966.5174499999994</v>
      </c>
      <c r="M33" s="309">
        <f t="shared" si="77"/>
        <v>0</v>
      </c>
      <c r="N33" s="309">
        <f t="shared" si="78"/>
        <v>2966.5174499999994</v>
      </c>
    </row>
    <row r="34">
      <c r="A34" s="310"/>
      <c r="B34" s="301" t="s">
        <v>777</v>
      </c>
      <c r="C34" s="303" t="s">
        <v>75</v>
      </c>
      <c r="D34" s="304">
        <v>2.5</v>
      </c>
      <c r="E34" s="305"/>
      <c r="F34" s="306"/>
      <c r="G34" s="306">
        <v>5</v>
      </c>
      <c r="H34" s="306" t="s">
        <v>76</v>
      </c>
      <c r="I34" s="306">
        <f t="shared" si="74"/>
        <v>672.41480999999999</v>
      </c>
      <c r="J34" s="307">
        <v>642.23000000000002</v>
      </c>
      <c r="K34" s="308">
        <f t="shared" si="75"/>
        <v>3362.0740500000002</v>
      </c>
      <c r="M34" s="309">
        <f t="shared" si="77"/>
        <v>0</v>
      </c>
      <c r="N34" s="309">
        <f t="shared" si="78"/>
        <v>3362.0740500000002</v>
      </c>
    </row>
    <row r="35">
      <c r="A35" s="310"/>
      <c r="B35" s="301" t="s">
        <v>777</v>
      </c>
      <c r="C35" s="304" t="s">
        <v>145</v>
      </c>
      <c r="D35" s="304">
        <v>125</v>
      </c>
      <c r="E35" s="305"/>
      <c r="F35" s="306"/>
      <c r="G35" s="306">
        <v>52</v>
      </c>
      <c r="H35" s="306" t="s">
        <v>39</v>
      </c>
      <c r="I35" s="306">
        <f t="shared" si="74"/>
        <v>93.182999999999993</v>
      </c>
      <c r="J35" s="307">
        <v>89</v>
      </c>
      <c r="K35" s="308">
        <f t="shared" si="75"/>
        <v>4845.5159999999996</v>
      </c>
      <c r="M35" s="309">
        <f t="shared" si="77"/>
        <v>0</v>
      </c>
      <c r="N35" s="309">
        <f t="shared" si="78"/>
        <v>4845.5159999999996</v>
      </c>
    </row>
    <row r="36">
      <c r="A36" s="310"/>
      <c r="B36" s="301" t="s">
        <v>777</v>
      </c>
      <c r="C36" s="304" t="s">
        <v>147</v>
      </c>
      <c r="D36" s="304">
        <v>230</v>
      </c>
      <c r="E36" s="305"/>
      <c r="F36" s="306"/>
      <c r="G36" s="306">
        <v>13</v>
      </c>
      <c r="H36" s="306" t="s">
        <v>39</v>
      </c>
      <c r="I36" s="306">
        <f t="shared" si="74"/>
        <v>130.875</v>
      </c>
      <c r="J36" s="307">
        <v>125</v>
      </c>
      <c r="K36" s="308">
        <f t="shared" si="75"/>
        <v>1701.375</v>
      </c>
      <c r="M36" s="309">
        <f t="shared" si="77"/>
        <v>0</v>
      </c>
      <c r="N36" s="309">
        <f t="shared" si="78"/>
        <v>1701.375</v>
      </c>
    </row>
    <row r="37">
      <c r="A37" s="310"/>
      <c r="B37" s="301" t="s">
        <v>777</v>
      </c>
      <c r="C37" s="303" t="s">
        <v>775</v>
      </c>
      <c r="D37" s="304" t="s">
        <v>776</v>
      </c>
      <c r="E37" s="305"/>
      <c r="F37" s="306"/>
      <c r="G37" s="306">
        <v>3</v>
      </c>
      <c r="H37" s="306" t="s">
        <v>39</v>
      </c>
      <c r="I37" s="306">
        <f t="shared" si="74"/>
        <v>120.40499999999999</v>
      </c>
      <c r="J37" s="307">
        <v>115</v>
      </c>
      <c r="K37" s="308">
        <f t="shared" si="75"/>
        <v>361.21499999999997</v>
      </c>
      <c r="M37" s="309">
        <f t="shared" si="77"/>
        <v>0</v>
      </c>
      <c r="N37" s="309">
        <f t="shared" si="78"/>
        <v>361.21499999999997</v>
      </c>
    </row>
    <row r="38" ht="28.550000000000001">
      <c r="A38" s="310"/>
      <c r="B38" s="301" t="s">
        <v>777</v>
      </c>
      <c r="C38" s="313" t="s">
        <v>779</v>
      </c>
      <c r="D38" s="314"/>
      <c r="E38" s="312" t="s">
        <v>780</v>
      </c>
      <c r="F38" s="306"/>
      <c r="G38" s="306">
        <v>5</v>
      </c>
      <c r="H38" s="306" t="s">
        <v>781</v>
      </c>
      <c r="I38" s="306">
        <f t="shared" si="74"/>
        <v>577.25297999999998</v>
      </c>
      <c r="J38" s="307">
        <v>551.34000000000003</v>
      </c>
      <c r="K38" s="308">
        <f t="shared" si="75"/>
        <v>2886.2649000000001</v>
      </c>
      <c r="M38" s="309">
        <f t="shared" si="77"/>
        <v>0</v>
      </c>
      <c r="N38" s="309">
        <f t="shared" si="78"/>
        <v>2886.2649000000001</v>
      </c>
    </row>
    <row r="39">
      <c r="A39" s="310"/>
      <c r="B39" s="301" t="s">
        <v>777</v>
      </c>
      <c r="C39" s="313" t="s">
        <v>782</v>
      </c>
      <c r="D39" s="304"/>
      <c r="E39" s="305" t="s">
        <v>783</v>
      </c>
      <c r="F39" s="306"/>
      <c r="G39" s="306">
        <v>5</v>
      </c>
      <c r="H39" s="306" t="s">
        <v>784</v>
      </c>
      <c r="I39" s="306">
        <f t="shared" si="74"/>
        <v>2188.23</v>
      </c>
      <c r="J39" s="307">
        <v>2090</v>
      </c>
      <c r="K39" s="308">
        <f t="shared" si="75"/>
        <v>10941.15</v>
      </c>
      <c r="M39" s="309">
        <f t="shared" si="77"/>
        <v>0</v>
      </c>
      <c r="N39" s="309">
        <f t="shared" si="78"/>
        <v>10941.15</v>
      </c>
    </row>
    <row r="40">
      <c r="A40" s="310"/>
      <c r="B40" s="301" t="s">
        <v>777</v>
      </c>
      <c r="C40" s="303" t="s">
        <v>151</v>
      </c>
      <c r="D40" s="304">
        <v>57</v>
      </c>
      <c r="E40" s="305" t="s">
        <v>778</v>
      </c>
      <c r="F40" s="306"/>
      <c r="G40" s="306">
        <v>12</v>
      </c>
      <c r="H40" s="306" t="s">
        <v>39</v>
      </c>
      <c r="I40" s="306">
        <f t="shared" si="74"/>
        <v>793.10249999999996</v>
      </c>
      <c r="J40" s="307">
        <v>757.5</v>
      </c>
      <c r="K40" s="308">
        <f t="shared" si="75"/>
        <v>9517.2299999999996</v>
      </c>
      <c r="L40" s="1">
        <f t="shared" si="76"/>
        <v>0.00096777333016197513</v>
      </c>
      <c r="M40" s="309">
        <f t="shared" si="77"/>
        <v>2680.0691998175103</v>
      </c>
      <c r="N40" s="309">
        <f t="shared" si="78"/>
        <v>12197.299199817509</v>
      </c>
    </row>
    <row r="41">
      <c r="A41" s="310"/>
      <c r="B41" s="301" t="s">
        <v>777</v>
      </c>
      <c r="C41" s="303" t="s">
        <v>151</v>
      </c>
      <c r="D41" s="314">
        <v>57</v>
      </c>
      <c r="E41" s="312" t="s">
        <v>766</v>
      </c>
      <c r="F41" s="306"/>
      <c r="G41" s="306">
        <v>10</v>
      </c>
      <c r="H41" s="306" t="s">
        <v>39</v>
      </c>
      <c r="I41" s="306">
        <f t="shared" si="74"/>
        <v>554.90999999999997</v>
      </c>
      <c r="J41" s="307">
        <v>530</v>
      </c>
      <c r="K41" s="308">
        <f t="shared" si="75"/>
        <v>5549.0999999999995</v>
      </c>
      <c r="L41" s="1">
        <f t="shared" si="76"/>
        <v>0.00056426827831226271</v>
      </c>
      <c r="M41" s="309">
        <f t="shared" si="77"/>
        <v>1562.6366071543237</v>
      </c>
      <c r="N41" s="309">
        <f t="shared" si="78"/>
        <v>7111.7366071543229</v>
      </c>
      <c r="O41" s="309">
        <f>SUM(M25:M41)</f>
        <v>39691.712811200952</v>
      </c>
    </row>
    <row r="42">
      <c r="A42" s="301">
        <v>3</v>
      </c>
      <c r="B42" s="301" t="s">
        <v>777</v>
      </c>
      <c r="C42" s="303" t="s">
        <v>33</v>
      </c>
      <c r="D42" s="304">
        <v>89</v>
      </c>
      <c r="E42" s="305" t="s">
        <v>766</v>
      </c>
      <c r="F42" s="315"/>
      <c r="G42" s="306">
        <v>50</v>
      </c>
      <c r="H42" s="306" t="s">
        <v>35</v>
      </c>
      <c r="I42" s="306">
        <f t="shared" si="74"/>
        <v>1423.05099</v>
      </c>
      <c r="J42" s="311">
        <v>1359.1700000000001</v>
      </c>
      <c r="K42" s="308">
        <f t="shared" si="75"/>
        <v>71152.549499999994</v>
      </c>
      <c r="L42" s="1">
        <f t="shared" si="76"/>
        <v>0.0072352501493743214</v>
      </c>
      <c r="M42" s="309">
        <f t="shared" si="77"/>
        <v>20036.686767414547</v>
      </c>
      <c r="N42" s="309">
        <f t="shared" si="78"/>
        <v>91189.236267414541</v>
      </c>
    </row>
    <row r="43">
      <c r="A43" s="310"/>
      <c r="B43" s="301" t="s">
        <v>777</v>
      </c>
      <c r="C43" s="303" t="s">
        <v>767</v>
      </c>
      <c r="D43" s="304">
        <v>89</v>
      </c>
      <c r="E43" s="305" t="s">
        <v>766</v>
      </c>
      <c r="F43" s="315"/>
      <c r="G43" s="306">
        <v>6</v>
      </c>
      <c r="H43" s="306" t="s">
        <v>39</v>
      </c>
      <c r="I43" s="306">
        <f t="shared" si="74"/>
        <v>7969.4184899999991</v>
      </c>
      <c r="J43" s="307">
        <v>7611.6700000000001</v>
      </c>
      <c r="K43" s="308">
        <f t="shared" si="75"/>
        <v>47816.510939999993</v>
      </c>
      <c r="L43" s="1">
        <f t="shared" si="76"/>
        <v>0.004862291236959736</v>
      </c>
      <c r="M43" s="309">
        <f t="shared" si="77"/>
        <v>13465.216056881151</v>
      </c>
      <c r="N43" s="309">
        <f t="shared" si="78"/>
        <v>61281.726996881145</v>
      </c>
    </row>
    <row r="44">
      <c r="A44" s="310"/>
      <c r="B44" s="301" t="s">
        <v>777</v>
      </c>
      <c r="C44" s="303" t="s">
        <v>767</v>
      </c>
      <c r="D44" s="316">
        <v>89</v>
      </c>
      <c r="E44" s="317" t="s">
        <v>769</v>
      </c>
      <c r="F44" s="318"/>
      <c r="G44" s="319">
        <v>2</v>
      </c>
      <c r="H44" s="319" t="s">
        <v>39</v>
      </c>
      <c r="I44" s="306">
        <f t="shared" si="74"/>
        <v>1405.0739999999998</v>
      </c>
      <c r="J44" s="307">
        <v>1342</v>
      </c>
      <c r="K44" s="308">
        <f t="shared" si="75"/>
        <v>2810.1479999999997</v>
      </c>
      <c r="L44" s="1">
        <f t="shared" si="76"/>
        <v>0.00028575397339436096</v>
      </c>
      <c r="M44" s="309">
        <f t="shared" si="77"/>
        <v>791.34276483060466</v>
      </c>
      <c r="N44" s="309">
        <f t="shared" si="78"/>
        <v>3601.4907648306043</v>
      </c>
    </row>
    <row r="45" ht="42.799999999999997">
      <c r="A45" s="310"/>
      <c r="B45" s="301" t="s">
        <v>777</v>
      </c>
      <c r="C45" s="31" t="s">
        <v>137</v>
      </c>
      <c r="D45" s="304"/>
      <c r="E45" s="312" t="s">
        <v>772</v>
      </c>
      <c r="F45" s="306"/>
      <c r="G45" s="306">
        <v>1</v>
      </c>
      <c r="H45" s="306" t="s">
        <v>773</v>
      </c>
      <c r="I45" s="306">
        <f t="shared" si="74"/>
        <v>1063.752</v>
      </c>
      <c r="J45" s="307">
        <v>1016</v>
      </c>
      <c r="K45" s="308">
        <f t="shared" si="75"/>
        <v>1063.752</v>
      </c>
      <c r="M45" s="309">
        <f t="shared" si="77"/>
        <v>0</v>
      </c>
      <c r="N45" s="309">
        <f t="shared" si="78"/>
        <v>1063.752</v>
      </c>
    </row>
    <row r="46" ht="28.550000000000001">
      <c r="A46" s="310"/>
      <c r="B46" s="301" t="s">
        <v>777</v>
      </c>
      <c r="C46" s="31" t="s">
        <v>140</v>
      </c>
      <c r="D46" s="304"/>
      <c r="E46" s="312" t="s">
        <v>774</v>
      </c>
      <c r="F46" s="306"/>
      <c r="G46" s="306">
        <v>1</v>
      </c>
      <c r="H46" s="306" t="s">
        <v>773</v>
      </c>
      <c r="I46" s="306">
        <f t="shared" si="74"/>
        <v>2837.3699999999999</v>
      </c>
      <c r="J46" s="307">
        <v>2710</v>
      </c>
      <c r="K46" s="308">
        <f t="shared" si="75"/>
        <v>2837.3699999999999</v>
      </c>
      <c r="M46" s="309">
        <f t="shared" si="77"/>
        <v>0</v>
      </c>
      <c r="N46" s="309">
        <f t="shared" si="78"/>
        <v>2837.3699999999999</v>
      </c>
    </row>
    <row r="47">
      <c r="A47" s="310"/>
      <c r="B47" s="301" t="s">
        <v>777</v>
      </c>
      <c r="C47" s="303" t="s">
        <v>75</v>
      </c>
      <c r="D47" s="304">
        <v>3.2000000000000002</v>
      </c>
      <c r="E47" s="305"/>
      <c r="F47" s="306"/>
      <c r="G47" s="306">
        <v>5</v>
      </c>
      <c r="H47" s="306" t="s">
        <v>76</v>
      </c>
      <c r="I47" s="306">
        <f t="shared" si="74"/>
        <v>593.3034899999999</v>
      </c>
      <c r="J47" s="307">
        <v>566.66999999999996</v>
      </c>
      <c r="K47" s="308">
        <f t="shared" si="75"/>
        <v>2966.5174499999994</v>
      </c>
      <c r="M47" s="309">
        <f t="shared" si="77"/>
        <v>0</v>
      </c>
      <c r="N47" s="309">
        <f t="shared" si="78"/>
        <v>2966.5174499999994</v>
      </c>
    </row>
    <row r="48">
      <c r="A48" s="310"/>
      <c r="B48" s="301" t="s">
        <v>777</v>
      </c>
      <c r="C48" s="303" t="s">
        <v>75</v>
      </c>
      <c r="D48" s="304">
        <v>2.5</v>
      </c>
      <c r="E48" s="305"/>
      <c r="F48" s="306"/>
      <c r="G48" s="306">
        <v>5</v>
      </c>
      <c r="H48" s="306" t="s">
        <v>76</v>
      </c>
      <c r="I48" s="306">
        <f t="shared" si="74"/>
        <v>672.41480999999999</v>
      </c>
      <c r="J48" s="307">
        <v>642.23000000000002</v>
      </c>
      <c r="K48" s="308">
        <f t="shared" si="75"/>
        <v>3362.0740500000002</v>
      </c>
      <c r="M48" s="309">
        <f t="shared" si="77"/>
        <v>0</v>
      </c>
      <c r="N48" s="309">
        <f t="shared" si="78"/>
        <v>3362.0740500000002</v>
      </c>
    </row>
    <row r="49">
      <c r="A49" s="310"/>
      <c r="B49" s="301" t="s">
        <v>777</v>
      </c>
      <c r="C49" s="304" t="s">
        <v>145</v>
      </c>
      <c r="D49" s="304">
        <v>125</v>
      </c>
      <c r="E49" s="305"/>
      <c r="F49" s="306"/>
      <c r="G49" s="306">
        <v>46</v>
      </c>
      <c r="H49" s="306" t="s">
        <v>39</v>
      </c>
      <c r="I49" s="306">
        <f t="shared" si="74"/>
        <v>93.182999999999993</v>
      </c>
      <c r="J49" s="307">
        <v>89</v>
      </c>
      <c r="K49" s="308">
        <f t="shared" si="75"/>
        <v>4286.4179999999997</v>
      </c>
      <c r="M49" s="309">
        <f t="shared" si="77"/>
        <v>0</v>
      </c>
      <c r="N49" s="309">
        <f t="shared" si="78"/>
        <v>4286.4179999999997</v>
      </c>
    </row>
    <row r="50">
      <c r="A50" s="310"/>
      <c r="B50" s="301" t="s">
        <v>777</v>
      </c>
      <c r="C50" s="304" t="s">
        <v>147</v>
      </c>
      <c r="D50" s="304">
        <v>230</v>
      </c>
      <c r="E50" s="305"/>
      <c r="F50" s="306"/>
      <c r="G50" s="306">
        <v>12</v>
      </c>
      <c r="H50" s="306" t="s">
        <v>39</v>
      </c>
      <c r="I50" s="306">
        <f t="shared" si="74"/>
        <v>130.875</v>
      </c>
      <c r="J50" s="307">
        <v>125</v>
      </c>
      <c r="K50" s="308">
        <f t="shared" si="75"/>
        <v>1570.5</v>
      </c>
      <c r="M50" s="309">
        <f t="shared" si="77"/>
        <v>0</v>
      </c>
      <c r="N50" s="309">
        <f t="shared" si="78"/>
        <v>1570.5</v>
      </c>
    </row>
    <row r="51">
      <c r="A51" s="310"/>
      <c r="B51" s="301" t="s">
        <v>777</v>
      </c>
      <c r="C51" s="303" t="s">
        <v>775</v>
      </c>
      <c r="D51" s="304" t="s">
        <v>776</v>
      </c>
      <c r="E51" s="305"/>
      <c r="F51" s="306"/>
      <c r="G51" s="306">
        <v>2</v>
      </c>
      <c r="H51" s="306" t="s">
        <v>39</v>
      </c>
      <c r="I51" s="306">
        <f t="shared" si="74"/>
        <v>120.40499999999999</v>
      </c>
      <c r="J51" s="307">
        <v>115</v>
      </c>
      <c r="K51" s="308">
        <f t="shared" si="75"/>
        <v>240.80999999999997</v>
      </c>
      <c r="M51" s="309">
        <f t="shared" si="77"/>
        <v>0</v>
      </c>
      <c r="N51" s="309">
        <f t="shared" si="78"/>
        <v>240.80999999999997</v>
      </c>
    </row>
    <row r="52">
      <c r="A52" s="310"/>
      <c r="B52" s="301" t="s">
        <v>777</v>
      </c>
      <c r="C52" s="303" t="s">
        <v>151</v>
      </c>
      <c r="D52" s="316">
        <v>89</v>
      </c>
      <c r="E52" s="317" t="s">
        <v>766</v>
      </c>
      <c r="F52" s="318"/>
      <c r="G52" s="319">
        <v>20</v>
      </c>
      <c r="H52" s="306" t="s">
        <v>39</v>
      </c>
      <c r="I52" s="306">
        <f t="shared" si="74"/>
        <v>705.01838999999995</v>
      </c>
      <c r="J52" s="307">
        <v>673.37</v>
      </c>
      <c r="K52" s="308">
        <f t="shared" si="75"/>
        <v>14100.3678</v>
      </c>
      <c r="L52" s="1">
        <f t="shared" si="76"/>
        <v>0.0014338163417627486</v>
      </c>
      <c r="M52" s="309">
        <f t="shared" si="77"/>
        <v>3970.6891024887059</v>
      </c>
      <c r="N52" s="309">
        <f t="shared" si="78"/>
        <v>18071.056902488705</v>
      </c>
    </row>
    <row r="53" ht="28.550000000000001">
      <c r="A53" s="320"/>
      <c r="B53" s="301" t="s">
        <v>777</v>
      </c>
      <c r="C53" s="321" t="s">
        <v>155</v>
      </c>
      <c r="D53" s="316"/>
      <c r="E53" s="317"/>
      <c r="F53" s="318"/>
      <c r="G53" s="319">
        <v>20</v>
      </c>
      <c r="H53" s="306" t="s">
        <v>785</v>
      </c>
      <c r="I53" s="306">
        <f t="shared" si="74"/>
        <v>8704.1716799999995</v>
      </c>
      <c r="J53" s="307">
        <v>8313.4400000000005</v>
      </c>
      <c r="K53" s="308">
        <f t="shared" si="75"/>
        <v>174083.43359999999</v>
      </c>
      <c r="M53" s="309">
        <f t="shared" si="77"/>
        <v>0</v>
      </c>
      <c r="N53" s="309">
        <f t="shared" si="78"/>
        <v>174083.43359999999</v>
      </c>
      <c r="O53" s="309">
        <f>SUM(M42:M53)</f>
        <v>38263.93469161501</v>
      </c>
    </row>
    <row r="54">
      <c r="A54" s="301">
        <v>4</v>
      </c>
      <c r="B54" s="301" t="s">
        <v>777</v>
      </c>
      <c r="C54" s="303" t="s">
        <v>33</v>
      </c>
      <c r="D54" s="304">
        <v>325</v>
      </c>
      <c r="E54" s="305" t="s">
        <v>766</v>
      </c>
      <c r="F54" s="306"/>
      <c r="G54" s="306">
        <v>48</v>
      </c>
      <c r="H54" s="306" t="s">
        <v>35</v>
      </c>
      <c r="I54" s="306">
        <f t="shared" si="74"/>
        <v>7390.0715099999998</v>
      </c>
      <c r="J54" s="307">
        <v>7058.3299999999999</v>
      </c>
      <c r="K54" s="308">
        <f t="shared" si="75"/>
        <v>354723.43247999996</v>
      </c>
      <c r="L54" s="1">
        <f t="shared" si="76"/>
        <v>0.036070566492315111</v>
      </c>
      <c r="M54" s="309">
        <f t="shared" si="77"/>
        <v>99890.760845665616</v>
      </c>
      <c r="N54" s="309">
        <f t="shared" si="78"/>
        <v>454614.19332566555</v>
      </c>
    </row>
    <row r="55">
      <c r="A55" s="310"/>
      <c r="B55" s="301" t="s">
        <v>777</v>
      </c>
      <c r="C55" s="303" t="s">
        <v>33</v>
      </c>
      <c r="D55" s="304">
        <v>219</v>
      </c>
      <c r="E55" s="305" t="s">
        <v>766</v>
      </c>
      <c r="F55" s="306"/>
      <c r="G55" s="306">
        <v>220</v>
      </c>
      <c r="H55" s="306" t="s">
        <v>35</v>
      </c>
      <c r="I55" s="306">
        <f t="shared" si="74"/>
        <v>4522.1709899999996</v>
      </c>
      <c r="J55" s="307">
        <v>4319.1700000000001</v>
      </c>
      <c r="K55" s="308">
        <f t="shared" si="75"/>
        <v>994877.61779999989</v>
      </c>
      <c r="L55" s="1">
        <f t="shared" si="76"/>
        <v>0.10116557289063295</v>
      </c>
      <c r="M55" s="309">
        <f t="shared" si="77"/>
        <v>280159.33848962316</v>
      </c>
      <c r="N55" s="309">
        <f t="shared" si="78"/>
        <v>1275036.9562896229</v>
      </c>
    </row>
    <row r="56">
      <c r="A56" s="310"/>
      <c r="B56" s="301" t="s">
        <v>777</v>
      </c>
      <c r="C56" s="303" t="s">
        <v>33</v>
      </c>
      <c r="D56" s="304">
        <v>159</v>
      </c>
      <c r="E56" s="305" t="s">
        <v>766</v>
      </c>
      <c r="F56" s="306"/>
      <c r="G56" s="306">
        <v>228</v>
      </c>
      <c r="H56" s="306" t="s">
        <v>35</v>
      </c>
      <c r="I56" s="306">
        <f t="shared" si="74"/>
        <v>3271.0059899999997</v>
      </c>
      <c r="J56" s="307">
        <v>3124.1700000000001</v>
      </c>
      <c r="K56" s="308">
        <f t="shared" si="75"/>
        <v>745789.36571999989</v>
      </c>
      <c r="L56" s="1">
        <f t="shared" si="76"/>
        <v>0.075836672861981008</v>
      </c>
      <c r="M56" s="309">
        <f t="shared" si="77"/>
        <v>210015.63570677693</v>
      </c>
      <c r="N56" s="309">
        <f t="shared" si="78"/>
        <v>955805.00142677687</v>
      </c>
    </row>
    <row r="57">
      <c r="A57" s="310"/>
      <c r="B57" s="301" t="s">
        <v>777</v>
      </c>
      <c r="C57" s="303" t="s">
        <v>33</v>
      </c>
      <c r="D57" s="304">
        <v>133</v>
      </c>
      <c r="E57" s="305" t="s">
        <v>766</v>
      </c>
      <c r="F57" s="306"/>
      <c r="G57" s="306">
        <v>158</v>
      </c>
      <c r="H57" s="306" t="s">
        <v>35</v>
      </c>
      <c r="I57" s="306">
        <f t="shared" si="74"/>
        <v>2730.0524999999998</v>
      </c>
      <c r="J57" s="307">
        <v>2607.5</v>
      </c>
      <c r="K57" s="308">
        <f t="shared" si="75"/>
        <v>431348.29499999998</v>
      </c>
      <c r="L57" s="1">
        <f t="shared" si="76"/>
        <v>0.043862276724618406</v>
      </c>
      <c r="M57" s="309">
        <f t="shared" si="77"/>
        <v>121468.4608676366</v>
      </c>
      <c r="N57" s="309">
        <f t="shared" si="78"/>
        <v>552816.75586763653</v>
      </c>
    </row>
    <row r="58">
      <c r="A58" s="310"/>
      <c r="B58" s="301" t="s">
        <v>777</v>
      </c>
      <c r="C58" s="303" t="s">
        <v>33</v>
      </c>
      <c r="D58" s="304">
        <v>108</v>
      </c>
      <c r="E58" s="305" t="s">
        <v>766</v>
      </c>
      <c r="F58" s="306"/>
      <c r="G58" s="306">
        <v>192</v>
      </c>
      <c r="H58" s="306" t="s">
        <v>35</v>
      </c>
      <c r="I58" s="306">
        <f t="shared" si="74"/>
        <v>2976.9665099999997</v>
      </c>
      <c r="J58" s="307">
        <v>2843.3299999999999</v>
      </c>
      <c r="K58" s="308">
        <f t="shared" si="75"/>
        <v>571577.56991999992</v>
      </c>
      <c r="L58" s="1">
        <f t="shared" si="76"/>
        <v>0.05812169384236459</v>
      </c>
      <c r="M58" s="309">
        <f t="shared" si="77"/>
        <v>160957.27858306788</v>
      </c>
      <c r="N58" s="309">
        <f t="shared" si="78"/>
        <v>732534.84850306786</v>
      </c>
    </row>
    <row r="59">
      <c r="A59" s="310"/>
      <c r="B59" s="301" t="s">
        <v>777</v>
      </c>
      <c r="C59" s="303" t="s">
        <v>33</v>
      </c>
      <c r="D59" s="304">
        <v>89</v>
      </c>
      <c r="E59" s="305" t="s">
        <v>766</v>
      </c>
      <c r="F59" s="306"/>
      <c r="G59" s="306">
        <v>82</v>
      </c>
      <c r="H59" s="306" t="s">
        <v>35</v>
      </c>
      <c r="I59" s="306">
        <f t="shared" si="74"/>
        <v>1423.05099</v>
      </c>
      <c r="J59" s="311">
        <v>1359.1700000000001</v>
      </c>
      <c r="K59" s="308">
        <f t="shared" si="75"/>
        <v>116690.18118</v>
      </c>
      <c r="L59" s="1">
        <f t="shared" si="76"/>
        <v>0.011865810244973889</v>
      </c>
      <c r="M59" s="309">
        <f t="shared" si="77"/>
        <v>32860.166298559867</v>
      </c>
      <c r="N59" s="309">
        <f t="shared" si="78"/>
        <v>149550.34747855988</v>
      </c>
    </row>
    <row r="60">
      <c r="A60" s="310"/>
      <c r="B60" s="301" t="s">
        <v>777</v>
      </c>
      <c r="C60" s="303" t="s">
        <v>33</v>
      </c>
      <c r="D60" s="304">
        <v>76</v>
      </c>
      <c r="E60" s="305" t="s">
        <v>778</v>
      </c>
      <c r="F60" s="306"/>
      <c r="G60" s="306">
        <v>84</v>
      </c>
      <c r="H60" s="306" t="s">
        <v>35</v>
      </c>
      <c r="I60" s="306">
        <f t="shared" si="74"/>
        <v>1545.1940099999999</v>
      </c>
      <c r="J60" s="307">
        <v>1475.8299999999999</v>
      </c>
      <c r="K60" s="308">
        <f t="shared" si="75"/>
        <v>129796.29684</v>
      </c>
      <c r="L60" s="1">
        <f t="shared" si="76"/>
        <v>0.013198524616462884</v>
      </c>
      <c r="M60" s="309">
        <f t="shared" si="77"/>
        <v>36550.872198239907</v>
      </c>
      <c r="N60" s="309">
        <f t="shared" si="78"/>
        <v>166347.1690382399</v>
      </c>
    </row>
    <row r="61">
      <c r="A61" s="310"/>
      <c r="B61" s="301" t="s">
        <v>777</v>
      </c>
      <c r="C61" s="303" t="s">
        <v>33</v>
      </c>
      <c r="D61" s="304">
        <v>76</v>
      </c>
      <c r="E61" s="305" t="s">
        <v>766</v>
      </c>
      <c r="F61" s="306"/>
      <c r="G61" s="306">
        <v>86</v>
      </c>
      <c r="H61" s="306" t="s">
        <v>35</v>
      </c>
      <c r="I61" s="306">
        <f t="shared" si="74"/>
        <v>1957.02099</v>
      </c>
      <c r="J61" s="307">
        <v>1869.1700000000001</v>
      </c>
      <c r="K61" s="308">
        <f t="shared" si="75"/>
        <v>168303.80514000001</v>
      </c>
      <c r="L61" s="1">
        <f t="shared" si="76"/>
        <v>0.017114216424240034</v>
      </c>
      <c r="M61" s="309">
        <f t="shared" si="77"/>
        <v>47394.65625689429</v>
      </c>
      <c r="N61" s="309">
        <f t="shared" si="78"/>
        <v>215698.4613968943</v>
      </c>
    </row>
    <row r="62">
      <c r="A62" s="310"/>
      <c r="B62" s="301" t="s">
        <v>777</v>
      </c>
      <c r="C62" s="303" t="s">
        <v>33</v>
      </c>
      <c r="D62" s="304">
        <v>57</v>
      </c>
      <c r="E62" s="305" t="s">
        <v>766</v>
      </c>
      <c r="F62" s="306"/>
      <c r="G62" s="306">
        <v>2</v>
      </c>
      <c r="H62" s="306" t="s">
        <v>35</v>
      </c>
      <c r="I62" s="306">
        <f t="shared" si="74"/>
        <v>1662.9815099999998</v>
      </c>
      <c r="J62" s="307">
        <v>1588.3299999999999</v>
      </c>
      <c r="K62" s="308">
        <f t="shared" si="75"/>
        <v>3325.9630199999997</v>
      </c>
      <c r="L62" s="1">
        <f t="shared" si="76"/>
        <v>0.00033820537150630798</v>
      </c>
      <c r="M62" s="309">
        <f t="shared" si="77"/>
        <v>936.59720839299121</v>
      </c>
      <c r="N62" s="309">
        <f t="shared" si="78"/>
        <v>4262.5602283929911</v>
      </c>
    </row>
    <row r="63">
      <c r="A63" s="310"/>
      <c r="B63" s="301" t="s">
        <v>777</v>
      </c>
      <c r="C63" s="303" t="s">
        <v>767</v>
      </c>
      <c r="D63" s="304">
        <v>325</v>
      </c>
      <c r="E63" s="305" t="s">
        <v>778</v>
      </c>
      <c r="F63" s="306"/>
      <c r="G63" s="306">
        <v>8</v>
      </c>
      <c r="H63" s="306" t="s">
        <v>39</v>
      </c>
      <c r="I63" s="306">
        <f t="shared" si="74"/>
        <v>43484.527499999997</v>
      </c>
      <c r="J63" s="307">
        <v>41532.5</v>
      </c>
      <c r="K63" s="308">
        <f t="shared" si="75"/>
        <v>347876.21999999997</v>
      </c>
      <c r="L63" s="1">
        <f t="shared" si="76"/>
        <v>0.035374297764534414</v>
      </c>
      <c r="M63" s="309">
        <f t="shared" si="77"/>
        <v>97962.573413791615</v>
      </c>
      <c r="N63" s="309">
        <f t="shared" si="78"/>
        <v>445838.79341379157</v>
      </c>
    </row>
    <row r="64">
      <c r="A64" s="310"/>
      <c r="B64" s="301" t="s">
        <v>777</v>
      </c>
      <c r="C64" s="303" t="s">
        <v>767</v>
      </c>
      <c r="D64" s="304">
        <v>325</v>
      </c>
      <c r="E64" s="305" t="s">
        <v>766</v>
      </c>
      <c r="F64" s="306"/>
      <c r="G64" s="306">
        <v>8</v>
      </c>
      <c r="H64" s="306" t="s">
        <v>39</v>
      </c>
      <c r="I64" s="306">
        <f t="shared" si="74"/>
        <v>42507.330989999995</v>
      </c>
      <c r="J64" s="307">
        <v>40599.169999999998</v>
      </c>
      <c r="K64" s="308">
        <f t="shared" si="75"/>
        <v>340058.64791999996</v>
      </c>
      <c r="L64" s="1">
        <f t="shared" si="76"/>
        <v>0.034579356614048103</v>
      </c>
      <c r="M64" s="309">
        <f t="shared" si="77"/>
        <v>95761.130961632618</v>
      </c>
      <c r="N64" s="309">
        <f t="shared" si="78"/>
        <v>435819.77888163261</v>
      </c>
    </row>
    <row r="65">
      <c r="A65" s="310"/>
      <c r="B65" s="301" t="s">
        <v>777</v>
      </c>
      <c r="C65" s="303" t="s">
        <v>767</v>
      </c>
      <c r="D65" s="304">
        <v>219</v>
      </c>
      <c r="E65" s="305" t="s">
        <v>766</v>
      </c>
      <c r="F65" s="306" t="s">
        <v>768</v>
      </c>
      <c r="G65" s="306">
        <v>2</v>
      </c>
      <c r="H65" s="306" t="s">
        <v>39</v>
      </c>
      <c r="I65" s="306">
        <f t="shared" si="74"/>
        <v>20852.753489999996</v>
      </c>
      <c r="J65" s="307">
        <v>19916.669999999998</v>
      </c>
      <c r="K65" s="308">
        <f t="shared" si="75"/>
        <v>41705.506979999991</v>
      </c>
      <c r="L65" s="1">
        <f t="shared" si="76"/>
        <v>0.004240884939854148</v>
      </c>
      <c r="M65" s="309">
        <f t="shared" si="77"/>
        <v>11744.346277212189</v>
      </c>
      <c r="N65" s="309">
        <f t="shared" si="78"/>
        <v>53449.853257212177</v>
      </c>
    </row>
    <row r="66">
      <c r="A66" s="310"/>
      <c r="B66" s="301" t="s">
        <v>777</v>
      </c>
      <c r="C66" s="303" t="s">
        <v>767</v>
      </c>
      <c r="D66" s="304">
        <v>219</v>
      </c>
      <c r="E66" s="305" t="s">
        <v>766</v>
      </c>
      <c r="F66" s="306"/>
      <c r="G66" s="306">
        <v>12</v>
      </c>
      <c r="H66" s="306" t="s">
        <v>39</v>
      </c>
      <c r="I66" s="306">
        <f t="shared" si="74"/>
        <v>20852.753489999996</v>
      </c>
      <c r="J66" s="307">
        <v>19916.669999999998</v>
      </c>
      <c r="K66" s="308">
        <f t="shared" si="75"/>
        <v>250233.04187999995</v>
      </c>
      <c r="L66" s="1">
        <f t="shared" si="76"/>
        <v>0.025445309639124888</v>
      </c>
      <c r="M66" s="309">
        <f t="shared" si="77"/>
        <v>70466.077663273129</v>
      </c>
      <c r="N66" s="309">
        <f t="shared" si="78"/>
        <v>320699.11954327306</v>
      </c>
    </row>
    <row r="67">
      <c r="A67" s="310"/>
      <c r="B67" s="301" t="s">
        <v>777</v>
      </c>
      <c r="C67" s="303" t="s">
        <v>767</v>
      </c>
      <c r="D67" s="304">
        <v>159</v>
      </c>
      <c r="E67" s="305" t="s">
        <v>766</v>
      </c>
      <c r="F67" s="306"/>
      <c r="G67" s="306">
        <v>4</v>
      </c>
      <c r="H67" s="306" t="s">
        <v>39</v>
      </c>
      <c r="I67" s="306">
        <f t="shared" si="74"/>
        <v>11379.141509999999</v>
      </c>
      <c r="J67" s="307">
        <v>10868.33</v>
      </c>
      <c r="K67" s="308">
        <f t="shared" si="75"/>
        <v>45516.566039999998</v>
      </c>
      <c r="L67" s="1">
        <f t="shared" si="76"/>
        <v>0.0046284180054562375</v>
      </c>
      <c r="M67" s="309">
        <f t="shared" si="77"/>
        <v>12817.547408780039</v>
      </c>
      <c r="N67" s="309">
        <f t="shared" si="78"/>
        <v>58334.113448780037</v>
      </c>
    </row>
    <row r="68">
      <c r="A68" s="310"/>
      <c r="B68" s="301" t="s">
        <v>777</v>
      </c>
      <c r="C68" s="303" t="s">
        <v>767</v>
      </c>
      <c r="D68" s="304">
        <v>133</v>
      </c>
      <c r="E68" s="305" t="s">
        <v>766</v>
      </c>
      <c r="F68" s="306"/>
      <c r="G68" s="306">
        <v>2</v>
      </c>
      <c r="H68" s="306" t="s">
        <v>39</v>
      </c>
      <c r="I68" s="306">
        <f t="shared" ref="I68:I131" si="79">J68*$J$2</f>
        <v>12559.63401</v>
      </c>
      <c r="J68" s="307">
        <v>11995.83</v>
      </c>
      <c r="K68" s="308">
        <f t="shared" ref="K68:K131" si="80">G68*I68</f>
        <v>25119.26802</v>
      </c>
      <c r="L68" s="1">
        <f t="shared" ref="L68:L131" si="81">K68/$K$182</f>
        <v>0.002554289185293053</v>
      </c>
      <c r="M68" s="309">
        <f t="shared" ref="M68:M131" si="82">L68*2645000*1.047</f>
        <v>7073.6313551698313</v>
      </c>
      <c r="N68" s="309">
        <f t="shared" ref="N68:N131" si="83">K68+M68</f>
        <v>32192.899375169829</v>
      </c>
    </row>
    <row r="69">
      <c r="A69" s="310"/>
      <c r="B69" s="301" t="s">
        <v>777</v>
      </c>
      <c r="C69" s="303" t="s">
        <v>767</v>
      </c>
      <c r="D69" s="304">
        <v>133</v>
      </c>
      <c r="E69" s="305" t="s">
        <v>769</v>
      </c>
      <c r="F69" s="306"/>
      <c r="G69" s="306">
        <v>2</v>
      </c>
      <c r="H69" s="306" t="s">
        <v>39</v>
      </c>
      <c r="I69" s="306">
        <f t="shared" si="79"/>
        <v>2169.384</v>
      </c>
      <c r="J69" s="307">
        <v>2072</v>
      </c>
      <c r="K69" s="308">
        <f t="shared" si="80"/>
        <v>4338.768</v>
      </c>
      <c r="L69" s="1">
        <f t="shared" si="81"/>
        <v>0.000441193914212456</v>
      </c>
      <c r="M69" s="309">
        <f t="shared" si="82"/>
        <v>1221.8049245372674</v>
      </c>
      <c r="N69" s="309">
        <f t="shared" si="83"/>
        <v>5560.5729245372677</v>
      </c>
    </row>
    <row r="70">
      <c r="A70" s="310"/>
      <c r="B70" s="301" t="s">
        <v>777</v>
      </c>
      <c r="C70" s="303" t="s">
        <v>767</v>
      </c>
      <c r="D70" s="304">
        <v>108</v>
      </c>
      <c r="E70" s="305" t="s">
        <v>778</v>
      </c>
      <c r="F70" s="306" t="s">
        <v>768</v>
      </c>
      <c r="G70" s="306">
        <v>2</v>
      </c>
      <c r="H70" s="306" t="s">
        <v>39</v>
      </c>
      <c r="I70" s="306">
        <f t="shared" si="79"/>
        <v>9848.7834899999998</v>
      </c>
      <c r="J70" s="311">
        <v>9406.6700000000001</v>
      </c>
      <c r="K70" s="308">
        <f t="shared" si="80"/>
        <v>19697.56698</v>
      </c>
      <c r="L70" s="1">
        <f t="shared" si="81"/>
        <v>0.0020029756549251368</v>
      </c>
      <c r="M70" s="309">
        <f t="shared" si="82"/>
        <v>5546.8705258190057</v>
      </c>
      <c r="N70" s="309">
        <f t="shared" si="83"/>
        <v>25244.437505819005</v>
      </c>
    </row>
    <row r="71">
      <c r="A71" s="310"/>
      <c r="B71" s="301" t="s">
        <v>777</v>
      </c>
      <c r="C71" s="303" t="s">
        <v>767</v>
      </c>
      <c r="D71" s="304">
        <v>108</v>
      </c>
      <c r="E71" s="305" t="s">
        <v>778</v>
      </c>
      <c r="F71" s="306"/>
      <c r="G71" s="306">
        <v>2</v>
      </c>
      <c r="H71" s="306" t="s">
        <v>39</v>
      </c>
      <c r="I71" s="306">
        <f t="shared" si="79"/>
        <v>4707.1340099999998</v>
      </c>
      <c r="J71" s="311">
        <v>4495.8299999999999</v>
      </c>
      <c r="K71" s="308">
        <f t="shared" si="80"/>
        <v>9414.2680199999995</v>
      </c>
      <c r="L71" s="1">
        <f t="shared" si="81"/>
        <v>0.00095730349195646044</v>
      </c>
      <c r="M71" s="309">
        <f t="shared" si="82"/>
        <v>2651.0749198274052</v>
      </c>
      <c r="N71" s="309">
        <f t="shared" si="83"/>
        <v>12065.342939827406</v>
      </c>
    </row>
    <row r="72">
      <c r="A72" s="310"/>
      <c r="B72" s="301" t="s">
        <v>777</v>
      </c>
      <c r="C72" s="303" t="s">
        <v>767</v>
      </c>
      <c r="D72" s="304">
        <v>108</v>
      </c>
      <c r="E72" s="305" t="s">
        <v>766</v>
      </c>
      <c r="F72" s="306" t="s">
        <v>768</v>
      </c>
      <c r="G72" s="306">
        <v>2</v>
      </c>
      <c r="H72" s="306" t="s">
        <v>39</v>
      </c>
      <c r="I72" s="306">
        <f t="shared" si="79"/>
        <v>9696.0890099999997</v>
      </c>
      <c r="J72" s="311">
        <v>9260.8299999999999</v>
      </c>
      <c r="K72" s="308">
        <f t="shared" si="80"/>
        <v>19392.178019999999</v>
      </c>
      <c r="L72" s="1">
        <f t="shared" si="81"/>
        <v>0.0019719217357896425</v>
      </c>
      <c r="M72" s="309">
        <f t="shared" si="82"/>
        <v>5460.8724417482936</v>
      </c>
      <c r="N72" s="309">
        <f t="shared" si="83"/>
        <v>24853.050461748295</v>
      </c>
    </row>
    <row r="73">
      <c r="A73" s="310"/>
      <c r="B73" s="301" t="s">
        <v>777</v>
      </c>
      <c r="C73" s="303" t="s">
        <v>767</v>
      </c>
      <c r="D73" s="304">
        <v>108</v>
      </c>
      <c r="E73" s="305" t="s">
        <v>766</v>
      </c>
      <c r="F73" s="306"/>
      <c r="G73" s="306">
        <v>8</v>
      </c>
      <c r="H73" s="306" t="s">
        <v>39</v>
      </c>
      <c r="I73" s="306">
        <f t="shared" si="79"/>
        <v>9058.2984899999992</v>
      </c>
      <c r="J73" s="311">
        <v>8651.6700000000001</v>
      </c>
      <c r="K73" s="308">
        <f t="shared" si="80"/>
        <v>72466.387919999994</v>
      </c>
      <c r="L73" s="1">
        <f t="shared" si="81"/>
        <v>0.0073688497138503454</v>
      </c>
      <c r="M73" s="309">
        <f t="shared" si="82"/>
        <v>20406.666045311467</v>
      </c>
      <c r="N73" s="309">
        <f t="shared" si="83"/>
        <v>92873.053965311468</v>
      </c>
    </row>
    <row r="74">
      <c r="A74" s="310"/>
      <c r="B74" s="301" t="s">
        <v>777</v>
      </c>
      <c r="C74" s="303" t="s">
        <v>767</v>
      </c>
      <c r="D74" s="304">
        <v>76</v>
      </c>
      <c r="E74" s="305" t="s">
        <v>778</v>
      </c>
      <c r="F74" s="306"/>
      <c r="G74" s="306">
        <v>4</v>
      </c>
      <c r="H74" s="306" t="s">
        <v>39</v>
      </c>
      <c r="I74" s="306">
        <f t="shared" si="79"/>
        <v>7089.059009999999</v>
      </c>
      <c r="J74" s="311">
        <v>6770.8299999999999</v>
      </c>
      <c r="K74" s="308">
        <f t="shared" si="80"/>
        <v>28356.236039999996</v>
      </c>
      <c r="L74" s="1">
        <f t="shared" si="81"/>
        <v>0.0028834449712037869</v>
      </c>
      <c r="M74" s="309">
        <f t="shared" si="82"/>
        <v>7985.1674104292142</v>
      </c>
      <c r="N74" s="309">
        <f t="shared" si="83"/>
        <v>36341.403450429207</v>
      </c>
    </row>
    <row r="75">
      <c r="A75" s="310"/>
      <c r="B75" s="301" t="s">
        <v>777</v>
      </c>
      <c r="C75" s="303" t="s">
        <v>767</v>
      </c>
      <c r="D75" s="304">
        <v>76</v>
      </c>
      <c r="E75" s="305" t="s">
        <v>766</v>
      </c>
      <c r="F75" s="306"/>
      <c r="G75" s="306">
        <v>4</v>
      </c>
      <c r="H75" s="306" t="s">
        <v>39</v>
      </c>
      <c r="I75" s="306">
        <f t="shared" si="79"/>
        <v>6914.5659900000001</v>
      </c>
      <c r="J75" s="311">
        <v>6604.1700000000001</v>
      </c>
      <c r="K75" s="308">
        <f t="shared" si="80"/>
        <v>27658.26396</v>
      </c>
      <c r="L75" s="1">
        <f t="shared" si="81"/>
        <v>0.0028124706683633934</v>
      </c>
      <c r="M75" s="309">
        <f t="shared" si="82"/>
        <v>7788.6172089587699</v>
      </c>
      <c r="N75" s="309">
        <f t="shared" si="83"/>
        <v>35446.881168958767</v>
      </c>
    </row>
    <row r="76">
      <c r="A76" s="310"/>
      <c r="B76" s="301" t="s">
        <v>777</v>
      </c>
      <c r="C76" s="303" t="s">
        <v>767</v>
      </c>
      <c r="D76" s="304">
        <v>76</v>
      </c>
      <c r="E76" s="305" t="s">
        <v>769</v>
      </c>
      <c r="F76" s="306"/>
      <c r="G76" s="306">
        <v>8</v>
      </c>
      <c r="H76" s="306" t="s">
        <v>39</v>
      </c>
      <c r="I76" s="306">
        <f t="shared" si="79"/>
        <v>981.03899999999999</v>
      </c>
      <c r="J76" s="311">
        <v>937</v>
      </c>
      <c r="K76" s="308">
        <f t="shared" si="80"/>
        <v>7848.3119999999999</v>
      </c>
      <c r="M76" s="309">
        <f t="shared" si="82"/>
        <v>0</v>
      </c>
      <c r="N76" s="309">
        <f t="shared" si="83"/>
        <v>7848.3119999999999</v>
      </c>
    </row>
    <row r="77">
      <c r="A77" s="310"/>
      <c r="B77" s="301" t="s">
        <v>777</v>
      </c>
      <c r="C77" s="303" t="s">
        <v>129</v>
      </c>
      <c r="D77" s="304" t="s">
        <v>786</v>
      </c>
      <c r="E77" s="305" t="s">
        <v>766</v>
      </c>
      <c r="F77" s="306"/>
      <c r="G77" s="306">
        <v>2</v>
      </c>
      <c r="H77" s="306" t="s">
        <v>39</v>
      </c>
      <c r="I77" s="306">
        <f t="shared" si="79"/>
        <v>12543.92901</v>
      </c>
      <c r="J77" s="311">
        <v>11980.83</v>
      </c>
      <c r="K77" s="308">
        <f t="shared" si="80"/>
        <v>25087.85802</v>
      </c>
      <c r="L77" s="1">
        <f t="shared" si="81"/>
        <v>0.0025510952139063798</v>
      </c>
      <c r="M77" s="309">
        <f t="shared" si="82"/>
        <v>7064.7862422991448</v>
      </c>
      <c r="N77" s="309">
        <f t="shared" si="83"/>
        <v>32152.644262299145</v>
      </c>
    </row>
    <row r="78">
      <c r="A78" s="310"/>
      <c r="B78" s="301" t="s">
        <v>777</v>
      </c>
      <c r="C78" s="303" t="s">
        <v>129</v>
      </c>
      <c r="D78" s="304" t="s">
        <v>130</v>
      </c>
      <c r="E78" s="305" t="s">
        <v>766</v>
      </c>
      <c r="F78" s="306"/>
      <c r="G78" s="306">
        <v>2</v>
      </c>
      <c r="H78" s="306" t="s">
        <v>39</v>
      </c>
      <c r="I78" s="306">
        <f t="shared" si="79"/>
        <v>7785.3140099999991</v>
      </c>
      <c r="J78" s="307">
        <v>7435.8299999999999</v>
      </c>
      <c r="K78" s="308">
        <f t="shared" si="80"/>
        <v>15570.628019999998</v>
      </c>
      <c r="L78" s="1">
        <f t="shared" si="81"/>
        <v>0.0015833218837444046</v>
      </c>
      <c r="M78" s="309">
        <f t="shared" si="82"/>
        <v>4384.7170424816359</v>
      </c>
      <c r="N78" s="309">
        <f t="shared" si="83"/>
        <v>19955.345062481632</v>
      </c>
    </row>
    <row r="79">
      <c r="A79" s="310"/>
      <c r="B79" s="301" t="s">
        <v>777</v>
      </c>
      <c r="C79" s="303" t="s">
        <v>129</v>
      </c>
      <c r="D79" s="304" t="s">
        <v>787</v>
      </c>
      <c r="E79" s="305" t="s">
        <v>766</v>
      </c>
      <c r="F79" s="306"/>
      <c r="G79" s="306">
        <v>2</v>
      </c>
      <c r="H79" s="306" t="s">
        <v>39</v>
      </c>
      <c r="I79" s="306">
        <f t="shared" si="79"/>
        <v>6866.5715099999998</v>
      </c>
      <c r="J79" s="307">
        <v>6558.3299999999999</v>
      </c>
      <c r="K79" s="308">
        <f t="shared" si="80"/>
        <v>13733.14302</v>
      </c>
      <c r="L79" s="1">
        <f t="shared" si="81"/>
        <v>0.0013964745576240233</v>
      </c>
      <c r="M79" s="309">
        <f t="shared" si="82"/>
        <v>3867.2779395465718</v>
      </c>
      <c r="N79" s="309">
        <f t="shared" si="83"/>
        <v>17600.420959546573</v>
      </c>
    </row>
    <row r="80">
      <c r="A80" s="310"/>
      <c r="B80" s="301" t="s">
        <v>777</v>
      </c>
      <c r="C80" s="303" t="s">
        <v>129</v>
      </c>
      <c r="D80" s="304" t="s">
        <v>132</v>
      </c>
      <c r="E80" s="305" t="s">
        <v>766</v>
      </c>
      <c r="F80" s="306"/>
      <c r="G80" s="306">
        <v>2</v>
      </c>
      <c r="H80" s="306" t="s">
        <v>39</v>
      </c>
      <c r="I80" s="306">
        <f t="shared" si="79"/>
        <v>5641.58151</v>
      </c>
      <c r="J80" s="307">
        <v>5388.3299999999999</v>
      </c>
      <c r="K80" s="308">
        <f t="shared" si="80"/>
        <v>11283.16302</v>
      </c>
      <c r="L80" s="1">
        <f t="shared" si="81"/>
        <v>0.001147344789463515</v>
      </c>
      <c r="M80" s="309">
        <f t="shared" si="82"/>
        <v>3177.359135633154</v>
      </c>
      <c r="N80" s="309">
        <f t="shared" si="83"/>
        <v>14460.522155633154</v>
      </c>
    </row>
    <row r="81">
      <c r="A81" s="310"/>
      <c r="B81" s="301" t="s">
        <v>777</v>
      </c>
      <c r="C81" s="303" t="s">
        <v>190</v>
      </c>
      <c r="D81" s="304" t="s">
        <v>130</v>
      </c>
      <c r="E81" s="305" t="s">
        <v>766</v>
      </c>
      <c r="F81" s="306"/>
      <c r="G81" s="306">
        <v>1</v>
      </c>
      <c r="H81" s="306" t="s">
        <v>39</v>
      </c>
      <c r="I81" s="306">
        <f t="shared" si="79"/>
        <v>16443.134999999998</v>
      </c>
      <c r="J81" s="307">
        <v>15705</v>
      </c>
      <c r="K81" s="308">
        <f t="shared" si="80"/>
        <v>16443.134999999998</v>
      </c>
      <c r="L81" s="1">
        <f t="shared" si="81"/>
        <v>0.0016720440209234124</v>
      </c>
      <c r="M81" s="309">
        <f t="shared" si="82"/>
        <v>4630.4165878035201</v>
      </c>
      <c r="N81" s="309">
        <f t="shared" si="83"/>
        <v>21073.551587803518</v>
      </c>
    </row>
    <row r="82">
      <c r="A82" s="310"/>
      <c r="B82" s="301" t="s">
        <v>777</v>
      </c>
      <c r="C82" s="303" t="s">
        <v>190</v>
      </c>
      <c r="D82" s="304" t="s">
        <v>788</v>
      </c>
      <c r="E82" s="305" t="s">
        <v>766</v>
      </c>
      <c r="F82" s="306"/>
      <c r="G82" s="306">
        <v>1</v>
      </c>
      <c r="H82" s="306" t="s">
        <v>39</v>
      </c>
      <c r="I82" s="306">
        <f t="shared" si="79"/>
        <v>15399.621509999999</v>
      </c>
      <c r="J82" s="307">
        <v>14708.33</v>
      </c>
      <c r="K82" s="308">
        <f t="shared" si="80"/>
        <v>15399.621509999999</v>
      </c>
      <c r="L82" s="1">
        <f t="shared" si="81"/>
        <v>0.0015659328388582269</v>
      </c>
      <c r="M82" s="309">
        <f t="shared" si="82"/>
        <v>4336.5612996426698</v>
      </c>
      <c r="N82" s="309">
        <f t="shared" si="83"/>
        <v>19736.182809642669</v>
      </c>
    </row>
    <row r="83">
      <c r="A83" s="310"/>
      <c r="B83" s="301" t="s">
        <v>777</v>
      </c>
      <c r="C83" s="303" t="s">
        <v>190</v>
      </c>
      <c r="D83" s="304" t="s">
        <v>191</v>
      </c>
      <c r="E83" s="305" t="s">
        <v>766</v>
      </c>
      <c r="F83" s="306"/>
      <c r="G83" s="306">
        <v>2</v>
      </c>
      <c r="H83" s="306" t="s">
        <v>39</v>
      </c>
      <c r="I83" s="306">
        <f t="shared" si="79"/>
        <v>14721.689009999998</v>
      </c>
      <c r="J83" s="307">
        <v>14060.83</v>
      </c>
      <c r="K83" s="308">
        <f t="shared" si="80"/>
        <v>29443.378019999996</v>
      </c>
      <c r="L83" s="1">
        <f t="shared" si="81"/>
        <v>0.0029939925795250612</v>
      </c>
      <c r="M83" s="309">
        <f t="shared" si="82"/>
        <v>8291.3085603674444</v>
      </c>
      <c r="N83" s="309">
        <f t="shared" si="83"/>
        <v>37734.686580367445</v>
      </c>
    </row>
    <row r="84">
      <c r="A84" s="310"/>
      <c r="B84" s="301" t="s">
        <v>777</v>
      </c>
      <c r="C84" s="303" t="s">
        <v>190</v>
      </c>
      <c r="D84" s="304" t="s">
        <v>789</v>
      </c>
      <c r="E84" s="305" t="s">
        <v>766</v>
      </c>
      <c r="F84" s="306"/>
      <c r="G84" s="306">
        <v>2</v>
      </c>
      <c r="H84" s="306" t="s">
        <v>39</v>
      </c>
      <c r="I84" s="306">
        <f t="shared" si="79"/>
        <v>12825.75</v>
      </c>
      <c r="J84" s="307">
        <v>12250</v>
      </c>
      <c r="K84" s="308">
        <f t="shared" si="80"/>
        <v>25651.5</v>
      </c>
      <c r="L84" s="1">
        <f t="shared" si="81"/>
        <v>0.0026084099657831014</v>
      </c>
      <c r="M84" s="309">
        <f t="shared" si="82"/>
        <v>7223.5088443926288</v>
      </c>
      <c r="N84" s="309">
        <f t="shared" si="83"/>
        <v>32875.008844392629</v>
      </c>
    </row>
    <row r="85">
      <c r="A85" s="310"/>
      <c r="B85" s="301" t="s">
        <v>777</v>
      </c>
      <c r="C85" s="303" t="s">
        <v>201</v>
      </c>
      <c r="D85" s="304" t="s">
        <v>130</v>
      </c>
      <c r="E85" s="305" t="s">
        <v>766</v>
      </c>
      <c r="F85" s="306"/>
      <c r="G85" s="306">
        <v>1</v>
      </c>
      <c r="H85" s="306" t="s">
        <v>39</v>
      </c>
      <c r="I85" s="306">
        <f t="shared" si="79"/>
        <v>25766.669999999998</v>
      </c>
      <c r="J85" s="311">
        <v>24610</v>
      </c>
      <c r="K85" s="308">
        <f t="shared" si="80"/>
        <v>25766.669999999998</v>
      </c>
      <c r="L85" s="1">
        <f t="shared" si="81"/>
        <v>0.0026201211942009027</v>
      </c>
      <c r="M85" s="309">
        <f t="shared" si="82"/>
        <v>7255.9409249184728</v>
      </c>
      <c r="N85" s="309">
        <f t="shared" si="83"/>
        <v>33022.610924918474</v>
      </c>
    </row>
    <row r="86">
      <c r="A86" s="310"/>
      <c r="B86" s="301" t="s">
        <v>777</v>
      </c>
      <c r="C86" s="303" t="s">
        <v>201</v>
      </c>
      <c r="D86" s="304" t="s">
        <v>788</v>
      </c>
      <c r="E86" s="305" t="s">
        <v>766</v>
      </c>
      <c r="F86" s="306"/>
      <c r="G86" s="306">
        <v>1</v>
      </c>
      <c r="H86" s="306" t="s">
        <v>39</v>
      </c>
      <c r="I86" s="306">
        <f t="shared" si="79"/>
        <v>22632.129989999998</v>
      </c>
      <c r="J86" s="307">
        <v>21616.169999999998</v>
      </c>
      <c r="K86" s="308">
        <f t="shared" si="80"/>
        <v>22632.129989999998</v>
      </c>
      <c r="L86" s="1">
        <f t="shared" si="81"/>
        <v>0.0023013809489821099</v>
      </c>
      <c r="M86" s="309">
        <f t="shared" si="82"/>
        <v>6373.2487827303921</v>
      </c>
      <c r="N86" s="309">
        <f t="shared" si="83"/>
        <v>29005.37877273039</v>
      </c>
    </row>
    <row r="87">
      <c r="A87" s="310"/>
      <c r="B87" s="301" t="s">
        <v>777</v>
      </c>
      <c r="C87" s="303" t="s">
        <v>771</v>
      </c>
      <c r="D87" s="304">
        <v>100</v>
      </c>
      <c r="E87" s="305"/>
      <c r="F87" s="306"/>
      <c r="G87" s="306">
        <v>2</v>
      </c>
      <c r="H87" s="306" t="s">
        <v>39</v>
      </c>
      <c r="I87" s="306">
        <f t="shared" si="79"/>
        <v>26153.012999999999</v>
      </c>
      <c r="J87" s="307">
        <v>24979</v>
      </c>
      <c r="K87" s="308">
        <f t="shared" si="80"/>
        <v>52306.025999999998</v>
      </c>
      <c r="M87" s="309">
        <f t="shared" si="82"/>
        <v>0</v>
      </c>
      <c r="N87" s="309">
        <f t="shared" si="83"/>
        <v>52306.025999999998</v>
      </c>
    </row>
    <row r="88">
      <c r="A88" s="310"/>
      <c r="B88" s="301" t="s">
        <v>777</v>
      </c>
      <c r="C88" s="303" t="s">
        <v>771</v>
      </c>
      <c r="D88" s="304">
        <v>80</v>
      </c>
      <c r="E88" s="305"/>
      <c r="F88" s="306"/>
      <c r="G88" s="306">
        <v>4</v>
      </c>
      <c r="H88" s="306" t="s">
        <v>39</v>
      </c>
      <c r="I88" s="306">
        <f t="shared" si="79"/>
        <v>11888.684999999999</v>
      </c>
      <c r="J88" s="307">
        <v>11355</v>
      </c>
      <c r="K88" s="308">
        <f t="shared" si="80"/>
        <v>47554.739999999998</v>
      </c>
      <c r="M88" s="309">
        <f t="shared" si="82"/>
        <v>0</v>
      </c>
      <c r="N88" s="309">
        <f t="shared" si="83"/>
        <v>47554.739999999998</v>
      </c>
    </row>
    <row r="89">
      <c r="A89" s="310"/>
      <c r="B89" s="301" t="s">
        <v>777</v>
      </c>
      <c r="C89" s="303" t="s">
        <v>771</v>
      </c>
      <c r="D89" s="304">
        <v>65</v>
      </c>
      <c r="E89" s="305"/>
      <c r="F89" s="306"/>
      <c r="G89" s="306">
        <v>2</v>
      </c>
      <c r="H89" s="306" t="s">
        <v>39</v>
      </c>
      <c r="I89" s="306">
        <f t="shared" si="79"/>
        <v>7870.2989999999991</v>
      </c>
      <c r="J89" s="307">
        <v>7517</v>
      </c>
      <c r="K89" s="308">
        <f t="shared" si="80"/>
        <v>15740.597999999998</v>
      </c>
      <c r="M89" s="309">
        <f t="shared" si="82"/>
        <v>0</v>
      </c>
      <c r="N89" s="309">
        <f t="shared" si="83"/>
        <v>15740.597999999998</v>
      </c>
    </row>
    <row r="90" ht="42.799999999999997">
      <c r="A90" s="310"/>
      <c r="B90" s="301" t="s">
        <v>777</v>
      </c>
      <c r="C90" s="31" t="s">
        <v>137</v>
      </c>
      <c r="D90" s="304"/>
      <c r="E90" s="312" t="s">
        <v>772</v>
      </c>
      <c r="F90" s="306"/>
      <c r="G90" s="306">
        <v>20</v>
      </c>
      <c r="H90" s="306" t="s">
        <v>773</v>
      </c>
      <c r="I90" s="306">
        <f t="shared" si="79"/>
        <v>1063.752</v>
      </c>
      <c r="J90" s="307">
        <v>1016</v>
      </c>
      <c r="K90" s="308">
        <f t="shared" si="80"/>
        <v>21275.040000000001</v>
      </c>
      <c r="M90" s="309">
        <f t="shared" si="82"/>
        <v>0</v>
      </c>
      <c r="N90" s="309">
        <f t="shared" si="83"/>
        <v>21275.040000000001</v>
      </c>
    </row>
    <row r="91" ht="28.550000000000001">
      <c r="A91" s="310"/>
      <c r="B91" s="301" t="s">
        <v>777</v>
      </c>
      <c r="C91" s="31" t="s">
        <v>140</v>
      </c>
      <c r="D91" s="304"/>
      <c r="E91" s="312" t="s">
        <v>774</v>
      </c>
      <c r="F91" s="306"/>
      <c r="G91" s="306">
        <v>7</v>
      </c>
      <c r="H91" s="306" t="s">
        <v>773</v>
      </c>
      <c r="I91" s="306">
        <f t="shared" si="79"/>
        <v>2837.3699999999999</v>
      </c>
      <c r="J91" s="307">
        <v>2710</v>
      </c>
      <c r="K91" s="308">
        <f t="shared" si="80"/>
        <v>19861.59</v>
      </c>
      <c r="M91" s="309">
        <f t="shared" si="82"/>
        <v>0</v>
      </c>
      <c r="N91" s="309">
        <f t="shared" si="83"/>
        <v>19861.59</v>
      </c>
    </row>
    <row r="92">
      <c r="A92" s="310"/>
      <c r="B92" s="301" t="s">
        <v>777</v>
      </c>
      <c r="C92" s="303" t="s">
        <v>75</v>
      </c>
      <c r="D92" s="304">
        <v>3.2000000000000002</v>
      </c>
      <c r="E92" s="305"/>
      <c r="F92" s="306"/>
      <c r="G92" s="306">
        <v>102</v>
      </c>
      <c r="H92" s="306" t="s">
        <v>76</v>
      </c>
      <c r="I92" s="306">
        <f t="shared" si="79"/>
        <v>593.3034899999999</v>
      </c>
      <c r="J92" s="307">
        <v>566.66999999999996</v>
      </c>
      <c r="K92" s="308">
        <f t="shared" si="80"/>
        <v>60516.955979999992</v>
      </c>
      <c r="M92" s="309">
        <f t="shared" si="82"/>
        <v>0</v>
      </c>
      <c r="N92" s="309">
        <f t="shared" si="83"/>
        <v>60516.955979999992</v>
      </c>
    </row>
    <row r="93">
      <c r="A93" s="310"/>
      <c r="B93" s="301" t="s">
        <v>777</v>
      </c>
      <c r="C93" s="303" t="s">
        <v>75</v>
      </c>
      <c r="D93" s="304">
        <v>2.5</v>
      </c>
      <c r="E93" s="305"/>
      <c r="F93" s="306"/>
      <c r="G93" s="306">
        <v>102</v>
      </c>
      <c r="H93" s="306" t="s">
        <v>76</v>
      </c>
      <c r="I93" s="306">
        <f t="shared" si="79"/>
        <v>672.41480999999999</v>
      </c>
      <c r="J93" s="307">
        <v>642.23000000000002</v>
      </c>
      <c r="K93" s="308">
        <f t="shared" si="80"/>
        <v>68586.310620000004</v>
      </c>
      <c r="M93" s="309">
        <f t="shared" si="82"/>
        <v>0</v>
      </c>
      <c r="N93" s="309">
        <f t="shared" si="83"/>
        <v>68586.310620000004</v>
      </c>
    </row>
    <row r="94">
      <c r="A94" s="310"/>
      <c r="B94" s="301" t="s">
        <v>777</v>
      </c>
      <c r="C94" s="304" t="s">
        <v>145</v>
      </c>
      <c r="D94" s="304">
        <v>125</v>
      </c>
      <c r="E94" s="305"/>
      <c r="F94" s="306"/>
      <c r="G94" s="306">
        <v>1022</v>
      </c>
      <c r="H94" s="306" t="s">
        <v>39</v>
      </c>
      <c r="I94" s="306">
        <f t="shared" si="79"/>
        <v>93.182999999999993</v>
      </c>
      <c r="J94" s="307">
        <v>89</v>
      </c>
      <c r="K94" s="308">
        <f t="shared" si="80"/>
        <v>95233.025999999998</v>
      </c>
      <c r="M94" s="309">
        <f t="shared" si="82"/>
        <v>0</v>
      </c>
      <c r="N94" s="309">
        <f t="shared" si="83"/>
        <v>95233.025999999998</v>
      </c>
    </row>
    <row r="95">
      <c r="A95" s="310"/>
      <c r="B95" s="301" t="s">
        <v>777</v>
      </c>
      <c r="C95" s="304" t="s">
        <v>147</v>
      </c>
      <c r="D95" s="304">
        <v>230</v>
      </c>
      <c r="E95" s="305"/>
      <c r="F95" s="306"/>
      <c r="G95" s="306">
        <v>256</v>
      </c>
      <c r="H95" s="306" t="s">
        <v>39</v>
      </c>
      <c r="I95" s="306">
        <f t="shared" si="79"/>
        <v>130.875</v>
      </c>
      <c r="J95" s="307">
        <v>125</v>
      </c>
      <c r="K95" s="308">
        <f t="shared" si="80"/>
        <v>33504</v>
      </c>
      <c r="M95" s="309">
        <f t="shared" si="82"/>
        <v>0</v>
      </c>
      <c r="N95" s="309">
        <f t="shared" si="83"/>
        <v>33504</v>
      </c>
    </row>
    <row r="96">
      <c r="A96" s="310"/>
      <c r="B96" s="301" t="s">
        <v>777</v>
      </c>
      <c r="C96" s="303" t="s">
        <v>775</v>
      </c>
      <c r="D96" s="304" t="s">
        <v>776</v>
      </c>
      <c r="E96" s="305"/>
      <c r="F96" s="306"/>
      <c r="G96" s="306">
        <v>52</v>
      </c>
      <c r="H96" s="306" t="s">
        <v>39</v>
      </c>
      <c r="I96" s="306">
        <f t="shared" si="79"/>
        <v>120.40499999999999</v>
      </c>
      <c r="J96" s="307">
        <v>115</v>
      </c>
      <c r="K96" s="308">
        <f t="shared" si="80"/>
        <v>6261.0599999999995</v>
      </c>
      <c r="M96" s="309">
        <f t="shared" si="82"/>
        <v>0</v>
      </c>
      <c r="N96" s="309">
        <f t="shared" si="83"/>
        <v>6261.0599999999995</v>
      </c>
    </row>
    <row r="97">
      <c r="A97" s="310"/>
      <c r="B97" s="301" t="s">
        <v>777</v>
      </c>
      <c r="C97" s="303" t="s">
        <v>151</v>
      </c>
      <c r="D97" s="304">
        <v>325</v>
      </c>
      <c r="E97" s="305" t="s">
        <v>778</v>
      </c>
      <c r="F97" s="306"/>
      <c r="G97" s="306">
        <v>16</v>
      </c>
      <c r="H97" s="306" t="s">
        <v>39</v>
      </c>
      <c r="I97" s="306">
        <f t="shared" si="79"/>
        <v>3325.9734899999999</v>
      </c>
      <c r="J97" s="307">
        <v>3176.6700000000001</v>
      </c>
      <c r="K97" s="308">
        <f t="shared" si="80"/>
        <v>53215.575839999998</v>
      </c>
      <c r="L97" s="1">
        <f t="shared" si="81"/>
        <v>0.0054113029786149909</v>
      </c>
      <c r="M97" s="309">
        <f t="shared" si="82"/>
        <v>14985.602508223174</v>
      </c>
      <c r="N97" s="309">
        <f t="shared" si="83"/>
        <v>68201.178348223169</v>
      </c>
    </row>
    <row r="98">
      <c r="A98" s="310"/>
      <c r="B98" s="301" t="s">
        <v>777</v>
      </c>
      <c r="C98" s="303" t="s">
        <v>151</v>
      </c>
      <c r="D98" s="304">
        <v>325</v>
      </c>
      <c r="E98" s="305" t="s">
        <v>766</v>
      </c>
      <c r="F98" s="306"/>
      <c r="G98" s="306">
        <v>24</v>
      </c>
      <c r="H98" s="306" t="s">
        <v>39</v>
      </c>
      <c r="I98" s="306">
        <f t="shared" si="79"/>
        <v>5584.8759899999995</v>
      </c>
      <c r="J98" s="307">
        <v>5334.1700000000001</v>
      </c>
      <c r="K98" s="308">
        <f t="shared" si="80"/>
        <v>134037.02375999998</v>
      </c>
      <c r="L98" s="1">
        <f t="shared" si="81"/>
        <v>0.013629749081320402</v>
      </c>
      <c r="M98" s="309">
        <f t="shared" si="82"/>
        <v>37745.068577136808</v>
      </c>
      <c r="N98" s="309">
        <f t="shared" si="83"/>
        <v>171782.0923371368</v>
      </c>
    </row>
    <row r="99">
      <c r="A99" s="310"/>
      <c r="B99" s="301" t="s">
        <v>777</v>
      </c>
      <c r="C99" s="303" t="s">
        <v>151</v>
      </c>
      <c r="D99" s="304">
        <v>219</v>
      </c>
      <c r="E99" s="305" t="s">
        <v>766</v>
      </c>
      <c r="F99" s="306"/>
      <c r="G99" s="306">
        <v>42</v>
      </c>
      <c r="H99" s="306" t="s">
        <v>39</v>
      </c>
      <c r="I99" s="306">
        <f t="shared" si="79"/>
        <v>1650.77349</v>
      </c>
      <c r="J99" s="307">
        <v>1576.6700000000001</v>
      </c>
      <c r="K99" s="308">
        <f t="shared" si="80"/>
        <v>69332.486579999997</v>
      </c>
      <c r="L99" s="1">
        <f t="shared" si="81"/>
        <v>0.0070501744127164151</v>
      </c>
      <c r="M99" s="309">
        <f t="shared" si="82"/>
        <v>19524.153753751758</v>
      </c>
      <c r="N99" s="309">
        <f t="shared" si="83"/>
        <v>88856.640333751755</v>
      </c>
    </row>
    <row r="100">
      <c r="A100" s="310"/>
      <c r="B100" s="301" t="s">
        <v>777</v>
      </c>
      <c r="C100" s="303" t="s">
        <v>151</v>
      </c>
      <c r="D100" s="304">
        <v>159</v>
      </c>
      <c r="E100" s="305" t="s">
        <v>766</v>
      </c>
      <c r="F100" s="306"/>
      <c r="G100" s="306">
        <v>50</v>
      </c>
      <c r="H100" s="306" t="s">
        <v>39</v>
      </c>
      <c r="I100" s="306">
        <f t="shared" si="79"/>
        <v>1236.3290099999999</v>
      </c>
      <c r="J100" s="307">
        <v>1180.8299999999999</v>
      </c>
      <c r="K100" s="308">
        <f t="shared" si="80"/>
        <v>61816.450499999999</v>
      </c>
      <c r="L100" s="1">
        <f t="shared" si="81"/>
        <v>0.0062858953875421621</v>
      </c>
      <c r="M100" s="309">
        <f t="shared" si="82"/>
        <v>17407.624385151321</v>
      </c>
      <c r="N100" s="309">
        <f t="shared" si="83"/>
        <v>79224.07488515132</v>
      </c>
    </row>
    <row r="101">
      <c r="A101" s="310"/>
      <c r="B101" s="301" t="s">
        <v>777</v>
      </c>
      <c r="C101" s="303" t="s">
        <v>151</v>
      </c>
      <c r="D101" s="304">
        <v>133</v>
      </c>
      <c r="E101" s="305" t="s">
        <v>766</v>
      </c>
      <c r="F101" s="306"/>
      <c r="G101" s="306">
        <v>26</v>
      </c>
      <c r="H101" s="306" t="s">
        <v>39</v>
      </c>
      <c r="I101" s="306">
        <f t="shared" si="79"/>
        <v>1052.2349999999999</v>
      </c>
      <c r="J101" s="307">
        <v>1005</v>
      </c>
      <c r="K101" s="308">
        <f t="shared" si="80"/>
        <v>27358.109999999997</v>
      </c>
      <c r="L101" s="1">
        <f t="shared" si="81"/>
        <v>0.0027819490777923443</v>
      </c>
      <c r="M101" s="309">
        <f t="shared" si="82"/>
        <v>7704.0933103665056</v>
      </c>
      <c r="N101" s="309">
        <f t="shared" si="83"/>
        <v>35062.203310366502</v>
      </c>
    </row>
    <row r="102">
      <c r="A102" s="310"/>
      <c r="B102" s="301" t="s">
        <v>777</v>
      </c>
      <c r="C102" s="303" t="s">
        <v>151</v>
      </c>
      <c r="D102" s="304">
        <v>108</v>
      </c>
      <c r="E102" s="305" t="s">
        <v>778</v>
      </c>
      <c r="F102" s="306"/>
      <c r="G102" s="306">
        <v>8</v>
      </c>
      <c r="H102" s="306" t="s">
        <v>39</v>
      </c>
      <c r="I102" s="306">
        <f t="shared" si="79"/>
        <v>1082.7759900000001</v>
      </c>
      <c r="J102" s="311">
        <v>1034.1700000000001</v>
      </c>
      <c r="K102" s="308">
        <f t="shared" si="80"/>
        <v>8662.2079200000007</v>
      </c>
      <c r="L102" s="1">
        <f t="shared" si="81"/>
        <v>0.00088082917038821555</v>
      </c>
      <c r="M102" s="309">
        <f t="shared" si="82"/>
        <v>2439.2934339936414</v>
      </c>
      <c r="N102" s="309">
        <f t="shared" si="83"/>
        <v>11101.501353993643</v>
      </c>
    </row>
    <row r="103">
      <c r="A103" s="310"/>
      <c r="B103" s="301" t="s">
        <v>777</v>
      </c>
      <c r="C103" s="303" t="s">
        <v>151</v>
      </c>
      <c r="D103" s="304">
        <v>108</v>
      </c>
      <c r="E103" s="305" t="s">
        <v>766</v>
      </c>
      <c r="F103" s="306"/>
      <c r="G103" s="306">
        <v>44</v>
      </c>
      <c r="H103" s="306" t="s">
        <v>39</v>
      </c>
      <c r="I103" s="306">
        <f t="shared" si="79"/>
        <v>795.71999999999991</v>
      </c>
      <c r="J103" s="307">
        <v>760</v>
      </c>
      <c r="K103" s="308">
        <f t="shared" si="80"/>
        <v>35011.679999999993</v>
      </c>
      <c r="L103" s="1">
        <f t="shared" si="81"/>
        <v>0.0035602134390117098</v>
      </c>
      <c r="M103" s="309">
        <f t="shared" si="82"/>
        <v>9859.3524798567123</v>
      </c>
      <c r="N103" s="309">
        <f t="shared" si="83"/>
        <v>44871.032479856702</v>
      </c>
    </row>
    <row r="104">
      <c r="A104" s="310"/>
      <c r="B104" s="301" t="s">
        <v>777</v>
      </c>
      <c r="C104" s="303" t="s">
        <v>151</v>
      </c>
      <c r="D104" s="304">
        <v>89</v>
      </c>
      <c r="E104" s="305" t="s">
        <v>766</v>
      </c>
      <c r="F104" s="306"/>
      <c r="G104" s="306">
        <v>14</v>
      </c>
      <c r="H104" s="306" t="s">
        <v>39</v>
      </c>
      <c r="I104" s="306">
        <f t="shared" si="79"/>
        <v>704.97650999999996</v>
      </c>
      <c r="J104" s="307">
        <v>673.33000000000004</v>
      </c>
      <c r="K104" s="308">
        <f t="shared" si="80"/>
        <v>9869.6711399999986</v>
      </c>
      <c r="L104" s="1">
        <f t="shared" si="81"/>
        <v>0.001003611818434706</v>
      </c>
      <c r="M104" s="309">
        <f t="shared" si="82"/>
        <v>2779.3172629685077</v>
      </c>
      <c r="N104" s="309">
        <f t="shared" si="83"/>
        <v>12648.988402968505</v>
      </c>
    </row>
    <row r="105">
      <c r="A105" s="310"/>
      <c r="B105" s="301" t="s">
        <v>777</v>
      </c>
      <c r="C105" s="303" t="s">
        <v>151</v>
      </c>
      <c r="D105" s="304">
        <v>76</v>
      </c>
      <c r="E105" s="305" t="s">
        <v>778</v>
      </c>
      <c r="F105" s="306"/>
      <c r="G105" s="306">
        <v>18</v>
      </c>
      <c r="H105" s="306" t="s">
        <v>39</v>
      </c>
      <c r="I105" s="306">
        <f t="shared" si="79"/>
        <v>864.64400999999998</v>
      </c>
      <c r="J105" s="307">
        <v>825.83000000000004</v>
      </c>
      <c r="K105" s="308">
        <f t="shared" si="80"/>
        <v>15563.59218</v>
      </c>
      <c r="L105" s="1">
        <f t="shared" si="81"/>
        <v>0.00158260643415379</v>
      </c>
      <c r="M105" s="309">
        <f t="shared" si="82"/>
        <v>4382.7357371986027</v>
      </c>
      <c r="N105" s="309">
        <f t="shared" si="83"/>
        <v>19946.327917198603</v>
      </c>
    </row>
    <row r="106">
      <c r="A106" s="310"/>
      <c r="B106" s="301" t="s">
        <v>777</v>
      </c>
      <c r="C106" s="303" t="s">
        <v>151</v>
      </c>
      <c r="D106" s="304">
        <v>76</v>
      </c>
      <c r="E106" s="305" t="s">
        <v>766</v>
      </c>
      <c r="F106" s="306"/>
      <c r="G106" s="306">
        <v>20</v>
      </c>
      <c r="H106" s="306" t="s">
        <v>39</v>
      </c>
      <c r="I106" s="306">
        <f t="shared" si="79"/>
        <v>641.28749999999991</v>
      </c>
      <c r="J106" s="307">
        <v>612.5</v>
      </c>
      <c r="K106" s="308">
        <f t="shared" si="80"/>
        <v>12825.749999999998</v>
      </c>
      <c r="L106" s="1">
        <f t="shared" si="81"/>
        <v>0.0013042049828915505</v>
      </c>
      <c r="M106" s="309">
        <f t="shared" si="82"/>
        <v>3611.754422196314</v>
      </c>
      <c r="N106" s="309">
        <f t="shared" si="83"/>
        <v>16437.504422196311</v>
      </c>
    </row>
    <row r="107">
      <c r="A107" s="310"/>
      <c r="B107" s="301" t="s">
        <v>777</v>
      </c>
      <c r="C107" s="303" t="s">
        <v>151</v>
      </c>
      <c r="D107" s="304">
        <v>57</v>
      </c>
      <c r="E107" s="305" t="s">
        <v>766</v>
      </c>
      <c r="F107" s="306"/>
      <c r="G107" s="306">
        <v>6</v>
      </c>
      <c r="H107" s="306" t="s">
        <v>39</v>
      </c>
      <c r="I107" s="306">
        <f t="shared" si="79"/>
        <v>554.90999999999997</v>
      </c>
      <c r="J107" s="307">
        <v>530</v>
      </c>
      <c r="K107" s="308">
        <f t="shared" si="80"/>
        <v>3329.46</v>
      </c>
      <c r="L107" s="1">
        <f t="shared" si="81"/>
        <v>0.00033856096698735766</v>
      </c>
      <c r="M107" s="309">
        <f t="shared" si="82"/>
        <v>937.58196429259431</v>
      </c>
      <c r="N107" s="309">
        <f t="shared" si="83"/>
        <v>4267.0419642925945</v>
      </c>
    </row>
    <row r="108" ht="28.550000000000001">
      <c r="A108" s="310"/>
      <c r="B108" s="301" t="s">
        <v>777</v>
      </c>
      <c r="C108" s="303" t="s">
        <v>154</v>
      </c>
      <c r="D108" s="304"/>
      <c r="E108" s="305"/>
      <c r="F108" s="306"/>
      <c r="G108" s="306">
        <v>3</v>
      </c>
      <c r="H108" s="306" t="s">
        <v>39</v>
      </c>
      <c r="I108" s="306">
        <f t="shared" si="79"/>
        <v>74127.599999999991</v>
      </c>
      <c r="J108" s="307">
        <v>70800</v>
      </c>
      <c r="K108" s="308">
        <f t="shared" si="80"/>
        <v>222382.79999999999</v>
      </c>
      <c r="M108" s="309">
        <f t="shared" si="82"/>
        <v>0</v>
      </c>
      <c r="N108" s="309">
        <f t="shared" si="83"/>
        <v>222382.79999999999</v>
      </c>
    </row>
    <row r="109" ht="28.550000000000001">
      <c r="A109" s="320"/>
      <c r="B109" s="301" t="s">
        <v>777</v>
      </c>
      <c r="C109" s="303" t="s">
        <v>155</v>
      </c>
      <c r="D109" s="304"/>
      <c r="E109" s="305"/>
      <c r="F109" s="306"/>
      <c r="G109" s="306">
        <v>14</v>
      </c>
      <c r="H109" s="306" t="s">
        <v>785</v>
      </c>
      <c r="I109" s="306">
        <f t="shared" si="79"/>
        <v>8704.1716799999995</v>
      </c>
      <c r="J109" s="307">
        <v>8313.4400000000005</v>
      </c>
      <c r="K109" s="308">
        <f t="shared" si="80"/>
        <v>121858.40351999999</v>
      </c>
      <c r="M109" s="309">
        <f t="shared" si="82"/>
        <v>0</v>
      </c>
      <c r="N109" s="309">
        <f t="shared" si="83"/>
        <v>121858.40351999999</v>
      </c>
      <c r="O109" s="309">
        <f>SUM(M54:M109)</f>
        <v>1515101.8502062999</v>
      </c>
    </row>
    <row r="110">
      <c r="A110" s="301">
        <v>5</v>
      </c>
      <c r="B110" s="302" t="s">
        <v>11</v>
      </c>
      <c r="C110" s="303" t="s">
        <v>33</v>
      </c>
      <c r="D110" s="304">
        <v>219</v>
      </c>
      <c r="E110" s="305" t="s">
        <v>778</v>
      </c>
      <c r="F110" s="306"/>
      <c r="G110" s="306">
        <v>116</v>
      </c>
      <c r="H110" s="306" t="s">
        <v>35</v>
      </c>
      <c r="I110" s="306">
        <f t="shared" si="79"/>
        <v>4136.51901</v>
      </c>
      <c r="J110" s="307">
        <v>3950.8299999999999</v>
      </c>
      <c r="K110" s="308">
        <f t="shared" si="80"/>
        <v>479836.20516000001</v>
      </c>
      <c r="L110" s="1">
        <f t="shared" si="81"/>
        <v>0.048792840164625415</v>
      </c>
      <c r="M110" s="309">
        <f t="shared" si="82"/>
        <v>135122.74416049963</v>
      </c>
      <c r="N110" s="309">
        <f t="shared" si="83"/>
        <v>614958.94932049967</v>
      </c>
    </row>
    <row r="111">
      <c r="A111" s="310"/>
      <c r="B111" s="302" t="s">
        <v>11</v>
      </c>
      <c r="C111" s="303" t="s">
        <v>33</v>
      </c>
      <c r="D111" s="304">
        <v>219</v>
      </c>
      <c r="E111" s="305" t="s">
        <v>766</v>
      </c>
      <c r="F111" s="306"/>
      <c r="G111" s="306">
        <v>220</v>
      </c>
      <c r="H111" s="306" t="s">
        <v>35</v>
      </c>
      <c r="I111" s="306">
        <f t="shared" si="79"/>
        <v>4522.1709899999996</v>
      </c>
      <c r="J111" s="307">
        <v>4319.1700000000001</v>
      </c>
      <c r="K111" s="308">
        <f t="shared" si="80"/>
        <v>994877.61779999989</v>
      </c>
      <c r="L111" s="1">
        <f t="shared" si="81"/>
        <v>0.10116557289063295</v>
      </c>
      <c r="M111" s="309">
        <f t="shared" si="82"/>
        <v>280159.33848962316</v>
      </c>
      <c r="N111" s="309">
        <f t="shared" si="83"/>
        <v>1275036.9562896229</v>
      </c>
    </row>
    <row r="112">
      <c r="A112" s="310"/>
      <c r="B112" s="302" t="s">
        <v>11</v>
      </c>
      <c r="C112" s="303" t="s">
        <v>33</v>
      </c>
      <c r="D112" s="304">
        <v>133</v>
      </c>
      <c r="E112" s="305" t="s">
        <v>766</v>
      </c>
      <c r="F112" s="306"/>
      <c r="G112" s="306">
        <v>64</v>
      </c>
      <c r="H112" s="306" t="s">
        <v>35</v>
      </c>
      <c r="I112" s="306">
        <f t="shared" si="79"/>
        <v>2730.0524999999998</v>
      </c>
      <c r="J112" s="307">
        <v>2607.5</v>
      </c>
      <c r="K112" s="308">
        <f t="shared" si="80"/>
        <v>174723.35999999999</v>
      </c>
      <c r="L112" s="1">
        <f t="shared" si="81"/>
        <v>0.017766998166934039</v>
      </c>
      <c r="M112" s="309">
        <f t="shared" si="82"/>
        <v>49202.414528662935</v>
      </c>
      <c r="N112" s="309">
        <f t="shared" si="83"/>
        <v>223925.77452866291</v>
      </c>
    </row>
    <row r="113">
      <c r="A113" s="310"/>
      <c r="B113" s="302" t="s">
        <v>11</v>
      </c>
      <c r="C113" s="303" t="s">
        <v>33</v>
      </c>
      <c r="D113" s="304">
        <v>108</v>
      </c>
      <c r="E113" s="305" t="s">
        <v>766</v>
      </c>
      <c r="F113" s="306"/>
      <c r="G113" s="306">
        <v>42</v>
      </c>
      <c r="H113" s="306" t="s">
        <v>35</v>
      </c>
      <c r="I113" s="306">
        <f t="shared" si="79"/>
        <v>2976.9665099999997</v>
      </c>
      <c r="J113" s="307">
        <v>2843.3299999999999</v>
      </c>
      <c r="K113" s="308">
        <f t="shared" si="80"/>
        <v>125032.59341999999</v>
      </c>
      <c r="L113" s="1">
        <f t="shared" si="81"/>
        <v>0.012714120528017254</v>
      </c>
      <c r="M113" s="309">
        <f t="shared" si="82"/>
        <v>35209.404690046096</v>
      </c>
      <c r="N113" s="309">
        <f t="shared" si="83"/>
        <v>160241.99811004609</v>
      </c>
    </row>
    <row r="114">
      <c r="A114" s="310"/>
      <c r="B114" s="302" t="s">
        <v>11</v>
      </c>
      <c r="C114" s="303" t="s">
        <v>33</v>
      </c>
      <c r="D114" s="304">
        <v>89</v>
      </c>
      <c r="E114" s="305" t="s">
        <v>766</v>
      </c>
      <c r="F114" s="306"/>
      <c r="G114" s="306">
        <v>68</v>
      </c>
      <c r="H114" s="306" t="s">
        <v>35</v>
      </c>
      <c r="I114" s="306">
        <f t="shared" si="79"/>
        <v>1423.05099</v>
      </c>
      <c r="J114" s="311">
        <v>1359.1700000000001</v>
      </c>
      <c r="K114" s="308">
        <f t="shared" si="80"/>
        <v>96767.467319999996</v>
      </c>
      <c r="L114" s="1">
        <f t="shared" si="81"/>
        <v>0.0098399402031490776</v>
      </c>
      <c r="M114" s="309">
        <f t="shared" si="82"/>
        <v>27249.894003683785</v>
      </c>
      <c r="N114" s="309">
        <f t="shared" si="83"/>
        <v>124017.36132368378</v>
      </c>
    </row>
    <row r="115">
      <c r="A115" s="310"/>
      <c r="B115" s="302" t="s">
        <v>11</v>
      </c>
      <c r="C115" s="303" t="s">
        <v>33</v>
      </c>
      <c r="D115" s="304">
        <v>57</v>
      </c>
      <c r="E115" s="305" t="s">
        <v>766</v>
      </c>
      <c r="F115" s="306"/>
      <c r="G115" s="306">
        <v>90</v>
      </c>
      <c r="H115" s="306" t="s">
        <v>35</v>
      </c>
      <c r="I115" s="306">
        <f t="shared" si="79"/>
        <v>1662.9815099999998</v>
      </c>
      <c r="J115" s="311">
        <v>1588.3299999999999</v>
      </c>
      <c r="K115" s="308">
        <f t="shared" si="80"/>
        <v>149668.33589999998</v>
      </c>
      <c r="L115" s="1">
        <f t="shared" si="81"/>
        <v>0.01521924171778386</v>
      </c>
      <c r="M115" s="309">
        <f t="shared" si="82"/>
        <v>42146.874377684609</v>
      </c>
      <c r="N115" s="309">
        <f t="shared" si="83"/>
        <v>191815.21027768459</v>
      </c>
    </row>
    <row r="116">
      <c r="A116" s="310"/>
      <c r="B116" s="302" t="s">
        <v>11</v>
      </c>
      <c r="C116" s="303" t="s">
        <v>33</v>
      </c>
      <c r="D116" s="304">
        <v>45</v>
      </c>
      <c r="E116" s="305" t="s">
        <v>766</v>
      </c>
      <c r="F116" s="306"/>
      <c r="G116" s="306">
        <v>4</v>
      </c>
      <c r="H116" s="306" t="s">
        <v>35</v>
      </c>
      <c r="I116" s="306">
        <f t="shared" si="79"/>
        <v>1492.8440099999998</v>
      </c>
      <c r="J116" s="311">
        <v>1425.8299999999999</v>
      </c>
      <c r="K116" s="308">
        <f t="shared" si="80"/>
        <v>5971.3760399999992</v>
      </c>
      <c r="L116" s="1">
        <f t="shared" si="81"/>
        <v>0.00060720802963469696</v>
      </c>
      <c r="M116" s="309">
        <f t="shared" si="82"/>
        <v>1681.5503045878106</v>
      </c>
      <c r="N116" s="309">
        <f t="shared" si="83"/>
        <v>7652.9263445878096</v>
      </c>
    </row>
    <row r="117">
      <c r="A117" s="310"/>
      <c r="B117" s="302" t="s">
        <v>11</v>
      </c>
      <c r="C117" s="303" t="s">
        <v>767</v>
      </c>
      <c r="D117" s="304">
        <v>219</v>
      </c>
      <c r="E117" s="305" t="s">
        <v>778</v>
      </c>
      <c r="F117" s="306"/>
      <c r="G117" s="306">
        <v>12</v>
      </c>
      <c r="H117" s="306" t="s">
        <v>39</v>
      </c>
      <c r="I117" s="306">
        <f t="shared" si="79"/>
        <v>21184.29651</v>
      </c>
      <c r="J117" s="311">
        <v>20233.330000000002</v>
      </c>
      <c r="K117" s="308">
        <f t="shared" si="80"/>
        <v>254211.55812</v>
      </c>
      <c r="L117" s="1">
        <f t="shared" si="81"/>
        <v>0.025849870830846465</v>
      </c>
      <c r="M117" s="309">
        <f t="shared" si="82"/>
        <v>71586.435039925578</v>
      </c>
      <c r="N117" s="309">
        <f t="shared" si="83"/>
        <v>325797.99315992557</v>
      </c>
    </row>
    <row r="118">
      <c r="A118" s="310"/>
      <c r="B118" s="302" t="s">
        <v>11</v>
      </c>
      <c r="C118" s="303" t="s">
        <v>767</v>
      </c>
      <c r="D118" s="304">
        <v>219</v>
      </c>
      <c r="E118" s="305" t="s">
        <v>766</v>
      </c>
      <c r="F118" s="306"/>
      <c r="G118" s="306">
        <v>10</v>
      </c>
      <c r="H118" s="306" t="s">
        <v>39</v>
      </c>
      <c r="I118" s="306">
        <f t="shared" si="79"/>
        <v>20852.753489999996</v>
      </c>
      <c r="J118" s="311">
        <v>19916.669999999998</v>
      </c>
      <c r="K118" s="308">
        <f t="shared" si="80"/>
        <v>208527.53489999997</v>
      </c>
      <c r="L118" s="1">
        <f t="shared" si="81"/>
        <v>0.021204424699270742</v>
      </c>
      <c r="M118" s="309">
        <f t="shared" si="82"/>
        <v>58721.731386060943</v>
      </c>
      <c r="N118" s="309">
        <f t="shared" si="83"/>
        <v>267249.26628606091</v>
      </c>
    </row>
    <row r="119">
      <c r="A119" s="310"/>
      <c r="B119" s="302" t="s">
        <v>11</v>
      </c>
      <c r="C119" s="303" t="s">
        <v>767</v>
      </c>
      <c r="D119" s="304">
        <v>219</v>
      </c>
      <c r="E119" s="305" t="s">
        <v>766</v>
      </c>
      <c r="F119" s="306" t="s">
        <v>768</v>
      </c>
      <c r="G119" s="306">
        <v>4</v>
      </c>
      <c r="H119" s="306" t="s">
        <v>39</v>
      </c>
      <c r="I119" s="306">
        <f t="shared" si="79"/>
        <v>31113.353489999998</v>
      </c>
      <c r="J119" s="311">
        <v>29716.669999999998</v>
      </c>
      <c r="K119" s="308">
        <f t="shared" si="80"/>
        <v>124453.41395999999</v>
      </c>
      <c r="L119" s="1">
        <f t="shared" si="81"/>
        <v>0.012655225824961258</v>
      </c>
      <c r="M119" s="309">
        <f t="shared" si="82"/>
        <v>35046.306705452582</v>
      </c>
      <c r="N119" s="309">
        <f t="shared" si="83"/>
        <v>159499.72066545257</v>
      </c>
    </row>
    <row r="120">
      <c r="A120" s="310"/>
      <c r="B120" s="302" t="s">
        <v>11</v>
      </c>
      <c r="C120" s="303" t="s">
        <v>767</v>
      </c>
      <c r="D120" s="304">
        <v>219</v>
      </c>
      <c r="E120" s="305" t="s">
        <v>769</v>
      </c>
      <c r="F120" s="306"/>
      <c r="G120" s="306">
        <v>6</v>
      </c>
      <c r="H120" s="306" t="s">
        <v>39</v>
      </c>
      <c r="I120" s="306">
        <f t="shared" si="79"/>
        <v>5397.2849999999999</v>
      </c>
      <c r="J120" s="311">
        <v>5155</v>
      </c>
      <c r="K120" s="308">
        <f t="shared" si="80"/>
        <v>32383.709999999999</v>
      </c>
      <c r="L120" s="1">
        <f t="shared" si="81"/>
        <v>0.0032929844996600539</v>
      </c>
      <c r="M120" s="309">
        <f t="shared" si="82"/>
        <v>9119.3113696760811</v>
      </c>
      <c r="N120" s="309">
        <f t="shared" si="83"/>
        <v>41503.021369676077</v>
      </c>
    </row>
    <row r="121">
      <c r="A121" s="310"/>
      <c r="B121" s="302" t="s">
        <v>11</v>
      </c>
      <c r="C121" s="303" t="s">
        <v>767</v>
      </c>
      <c r="D121" s="304">
        <v>159</v>
      </c>
      <c r="E121" s="305" t="s">
        <v>766</v>
      </c>
      <c r="F121" s="306" t="s">
        <v>768</v>
      </c>
      <c r="G121" s="306">
        <v>2</v>
      </c>
      <c r="H121" s="306" t="s">
        <v>39</v>
      </c>
      <c r="I121" s="306">
        <f t="shared" si="79"/>
        <v>15399.621509999999</v>
      </c>
      <c r="J121" s="311">
        <v>14708.33</v>
      </c>
      <c r="K121" s="308">
        <f t="shared" si="80"/>
        <v>30799.243019999998</v>
      </c>
      <c r="L121" s="1">
        <f t="shared" si="81"/>
        <v>0.0031318656777164539</v>
      </c>
      <c r="M121" s="309">
        <f t="shared" si="82"/>
        <v>8673.1225992853397</v>
      </c>
      <c r="N121" s="309">
        <f t="shared" si="83"/>
        <v>39472.365619285338</v>
      </c>
    </row>
    <row r="122">
      <c r="A122" s="310"/>
      <c r="B122" s="302" t="s">
        <v>11</v>
      </c>
      <c r="C122" s="303" t="s">
        <v>767</v>
      </c>
      <c r="D122" s="304">
        <v>108</v>
      </c>
      <c r="E122" s="305" t="s">
        <v>766</v>
      </c>
      <c r="F122" s="306" t="s">
        <v>768</v>
      </c>
      <c r="G122" s="306">
        <v>2</v>
      </c>
      <c r="H122" s="306" t="s">
        <v>39</v>
      </c>
      <c r="I122" s="306">
        <f t="shared" si="79"/>
        <v>9696.0890099999997</v>
      </c>
      <c r="J122" s="311">
        <v>9260.8299999999999</v>
      </c>
      <c r="K122" s="308">
        <f t="shared" si="80"/>
        <v>19392.178019999999</v>
      </c>
      <c r="L122" s="1">
        <f t="shared" si="81"/>
        <v>0.0019719217357896425</v>
      </c>
      <c r="M122" s="309">
        <f t="shared" si="82"/>
        <v>5460.8724417482936</v>
      </c>
      <c r="N122" s="309">
        <f t="shared" si="83"/>
        <v>24853.050461748295</v>
      </c>
    </row>
    <row r="123">
      <c r="A123" s="310"/>
      <c r="B123" s="302" t="s">
        <v>11</v>
      </c>
      <c r="C123" s="303" t="s">
        <v>767</v>
      </c>
      <c r="D123" s="304">
        <v>89</v>
      </c>
      <c r="E123" s="305" t="s">
        <v>778</v>
      </c>
      <c r="F123" s="306"/>
      <c r="G123" s="306">
        <v>4</v>
      </c>
      <c r="H123" s="306" t="s">
        <v>39</v>
      </c>
      <c r="I123" s="306">
        <f t="shared" si="79"/>
        <v>8232.0375000000004</v>
      </c>
      <c r="J123" s="311">
        <v>7862.5</v>
      </c>
      <c r="K123" s="308">
        <f t="shared" si="80"/>
        <v>32928.150000000001</v>
      </c>
      <c r="L123" s="1">
        <f t="shared" si="81"/>
        <v>0.0033483466703623896</v>
      </c>
      <c r="M123" s="309">
        <f t="shared" si="82"/>
        <v>9272.6266594346198</v>
      </c>
      <c r="N123" s="309">
        <f t="shared" si="83"/>
        <v>42200.776659434618</v>
      </c>
    </row>
    <row r="124">
      <c r="A124" s="310"/>
      <c r="B124" s="302" t="s">
        <v>11</v>
      </c>
      <c r="C124" s="303" t="s">
        <v>767</v>
      </c>
      <c r="D124" s="304">
        <v>89</v>
      </c>
      <c r="E124" s="305" t="s">
        <v>766</v>
      </c>
      <c r="F124" s="306"/>
      <c r="G124" s="306">
        <v>4</v>
      </c>
      <c r="H124" s="306" t="s">
        <v>39</v>
      </c>
      <c r="I124" s="306">
        <f t="shared" si="79"/>
        <v>8424.1620000000003</v>
      </c>
      <c r="J124" s="307">
        <v>8046</v>
      </c>
      <c r="K124" s="308">
        <f t="shared" si="80"/>
        <v>33696.648000000001</v>
      </c>
      <c r="L124" s="1">
        <f t="shared" si="81"/>
        <v>0.0034264925036229933</v>
      </c>
      <c r="M124" s="309">
        <f t="shared" si="82"/>
        <v>9489.0370876707093</v>
      </c>
      <c r="N124" s="309">
        <f t="shared" si="83"/>
        <v>43185.68508767071</v>
      </c>
    </row>
    <row r="125">
      <c r="A125" s="310"/>
      <c r="B125" s="302" t="s">
        <v>11</v>
      </c>
      <c r="C125" s="303" t="s">
        <v>767</v>
      </c>
      <c r="D125" s="304">
        <v>57</v>
      </c>
      <c r="E125" s="305" t="s">
        <v>769</v>
      </c>
      <c r="F125" s="306"/>
      <c r="G125" s="306">
        <v>8</v>
      </c>
      <c r="H125" s="306" t="s">
        <v>39</v>
      </c>
      <c r="I125" s="306">
        <f t="shared" si="79"/>
        <v>1155.8879999999999</v>
      </c>
      <c r="J125" s="307">
        <v>1104</v>
      </c>
      <c r="K125" s="308">
        <f t="shared" si="80"/>
        <v>9247.1039999999994</v>
      </c>
      <c r="M125" s="309">
        <f t="shared" si="82"/>
        <v>0</v>
      </c>
      <c r="N125" s="309">
        <f t="shared" si="83"/>
        <v>9247.1039999999994</v>
      </c>
    </row>
    <row r="126">
      <c r="A126" s="310"/>
      <c r="B126" s="302" t="s">
        <v>11</v>
      </c>
      <c r="C126" s="303" t="s">
        <v>767</v>
      </c>
      <c r="D126" s="304">
        <v>45</v>
      </c>
      <c r="E126" s="305" t="s">
        <v>769</v>
      </c>
      <c r="F126" s="306"/>
      <c r="G126" s="306">
        <v>4</v>
      </c>
      <c r="H126" s="306" t="s">
        <v>39</v>
      </c>
      <c r="I126" s="306">
        <f t="shared" si="79"/>
        <v>616.68299999999999</v>
      </c>
      <c r="J126" s="307">
        <v>589</v>
      </c>
      <c r="K126" s="308">
        <f t="shared" si="80"/>
        <v>2466.732</v>
      </c>
      <c r="M126" s="309">
        <f t="shared" si="82"/>
        <v>0</v>
      </c>
      <c r="N126" s="309">
        <f t="shared" si="83"/>
        <v>2466.732</v>
      </c>
    </row>
    <row r="127">
      <c r="A127" s="310"/>
      <c r="B127" s="302" t="s">
        <v>11</v>
      </c>
      <c r="C127" s="303" t="s">
        <v>790</v>
      </c>
      <c r="D127" s="304">
        <v>45</v>
      </c>
      <c r="E127" s="305" t="s">
        <v>791</v>
      </c>
      <c r="F127" s="306"/>
      <c r="G127" s="306">
        <v>6</v>
      </c>
      <c r="H127" s="306" t="s">
        <v>39</v>
      </c>
      <c r="I127" s="306">
        <f t="shared" si="79"/>
        <v>157.04999999999998</v>
      </c>
      <c r="J127" s="311">
        <v>150</v>
      </c>
      <c r="K127" s="308">
        <f t="shared" si="80"/>
        <v>942.29999999999995</v>
      </c>
      <c r="M127" s="309">
        <f t="shared" si="82"/>
        <v>0</v>
      </c>
      <c r="N127" s="309">
        <f t="shared" si="83"/>
        <v>942.29999999999995</v>
      </c>
    </row>
    <row r="128">
      <c r="A128" s="310"/>
      <c r="B128" s="302" t="s">
        <v>11</v>
      </c>
      <c r="C128" s="303" t="s">
        <v>129</v>
      </c>
      <c r="D128" s="304" t="s">
        <v>130</v>
      </c>
      <c r="E128" s="305" t="s">
        <v>766</v>
      </c>
      <c r="F128" s="306"/>
      <c r="G128" s="306">
        <v>2</v>
      </c>
      <c r="H128" s="306" t="s">
        <v>39</v>
      </c>
      <c r="I128" s="306">
        <f t="shared" si="79"/>
        <v>7785.3140099999991</v>
      </c>
      <c r="J128" s="307">
        <v>7435.8299999999999</v>
      </c>
      <c r="K128" s="308">
        <f t="shared" si="80"/>
        <v>15570.628019999998</v>
      </c>
      <c r="L128" s="1">
        <f t="shared" si="81"/>
        <v>0.0015833218837444046</v>
      </c>
      <c r="M128" s="309">
        <f t="shared" si="82"/>
        <v>4384.7170424816359</v>
      </c>
      <c r="N128" s="309">
        <f t="shared" si="83"/>
        <v>19955.345062481632</v>
      </c>
    </row>
    <row r="129" ht="14.25">
      <c r="A129" s="310"/>
      <c r="B129" s="302" t="s">
        <v>11</v>
      </c>
      <c r="C129" s="303" t="s">
        <v>129</v>
      </c>
      <c r="D129" s="304" t="s">
        <v>132</v>
      </c>
      <c r="E129" s="305" t="s">
        <v>766</v>
      </c>
      <c r="F129" s="306"/>
      <c r="G129" s="306">
        <v>2</v>
      </c>
      <c r="H129" s="306" t="s">
        <v>39</v>
      </c>
      <c r="I129" s="306">
        <f t="shared" si="79"/>
        <v>5641.58151</v>
      </c>
      <c r="J129" s="307">
        <v>5388.3299999999999</v>
      </c>
      <c r="K129" s="308">
        <f t="shared" si="80"/>
        <v>11283.16302</v>
      </c>
      <c r="L129" s="1">
        <f t="shared" si="81"/>
        <v>0.001147344789463515</v>
      </c>
      <c r="M129" s="309">
        <f t="shared" si="82"/>
        <v>3177.359135633154</v>
      </c>
      <c r="N129" s="309">
        <f t="shared" si="83"/>
        <v>14460.522155633154</v>
      </c>
    </row>
    <row r="130" ht="14.25">
      <c r="A130" s="310"/>
      <c r="B130" s="302" t="s">
        <v>11</v>
      </c>
      <c r="C130" s="303" t="s">
        <v>129</v>
      </c>
      <c r="D130" s="304" t="s">
        <v>792</v>
      </c>
      <c r="E130" s="305" t="s">
        <v>766</v>
      </c>
      <c r="F130" s="306"/>
      <c r="G130" s="306">
        <v>2</v>
      </c>
      <c r="H130" s="306" t="s">
        <v>39</v>
      </c>
      <c r="I130" s="306">
        <f t="shared" si="79"/>
        <v>3967.2609899999998</v>
      </c>
      <c r="J130" s="307">
        <v>3789.1700000000001</v>
      </c>
      <c r="K130" s="308">
        <f t="shared" si="80"/>
        <v>7934.5219799999995</v>
      </c>
      <c r="L130" s="1">
        <f t="shared" si="81"/>
        <v>0.00080683337061602882</v>
      </c>
      <c r="M130" s="309">
        <f t="shared" si="82"/>
        <v>2234.3757557475274</v>
      </c>
      <c r="N130" s="309">
        <f t="shared" si="83"/>
        <v>10168.897735747527</v>
      </c>
    </row>
    <row r="131" ht="14.25">
      <c r="A131" s="310"/>
      <c r="B131" s="302" t="s">
        <v>11</v>
      </c>
      <c r="C131" s="303" t="s">
        <v>190</v>
      </c>
      <c r="D131" s="304" t="s">
        <v>228</v>
      </c>
      <c r="E131" s="305" t="s">
        <v>766</v>
      </c>
      <c r="F131" s="306"/>
      <c r="G131" s="306">
        <v>1</v>
      </c>
      <c r="H131" s="306" t="s">
        <v>39</v>
      </c>
      <c r="I131" s="306">
        <f t="shared" si="79"/>
        <v>24826.118489999997</v>
      </c>
      <c r="J131" s="307">
        <v>23711.669999999998</v>
      </c>
      <c r="K131" s="308">
        <f t="shared" si="80"/>
        <v>24826.118489999997</v>
      </c>
      <c r="L131" s="1">
        <f t="shared" si="81"/>
        <v>0.0025244798503412319</v>
      </c>
      <c r="M131" s="309">
        <f t="shared" si="82"/>
        <v>6991.079916747728</v>
      </c>
      <c r="N131" s="309">
        <f t="shared" si="83"/>
        <v>31817.198406747724</v>
      </c>
    </row>
    <row r="132" ht="14.25">
      <c r="A132" s="310"/>
      <c r="B132" s="302" t="s">
        <v>11</v>
      </c>
      <c r="C132" s="303" t="s">
        <v>190</v>
      </c>
      <c r="D132" s="304" t="s">
        <v>191</v>
      </c>
      <c r="E132" s="305" t="s">
        <v>766</v>
      </c>
      <c r="F132" s="306"/>
      <c r="G132" s="306">
        <v>2</v>
      </c>
      <c r="H132" s="306" t="s">
        <v>39</v>
      </c>
      <c r="I132" s="306">
        <f t="shared" ref="I132:I195" si="84">J132*$J$2</f>
        <v>14721.689009999998</v>
      </c>
      <c r="J132" s="311">
        <v>14060.83</v>
      </c>
      <c r="K132" s="308">
        <f t="shared" ref="K132:K180" si="85">G132*I132</f>
        <v>29443.378019999996</v>
      </c>
      <c r="L132" s="1">
        <f t="shared" ref="L132:L180" si="86">K132/$K$182</f>
        <v>0.0029939925795250612</v>
      </c>
      <c r="M132" s="309">
        <f t="shared" ref="M132:M180" si="87">L132*2645000*1.047</f>
        <v>8291.3085603674444</v>
      </c>
      <c r="N132" s="309">
        <f t="shared" ref="N132:N180" si="88">K132+M132</f>
        <v>37734.686580367445</v>
      </c>
    </row>
    <row r="133" ht="14.25">
      <c r="A133" s="310"/>
      <c r="B133" s="302" t="s">
        <v>11</v>
      </c>
      <c r="C133" s="303" t="s">
        <v>190</v>
      </c>
      <c r="D133" s="304" t="s">
        <v>793</v>
      </c>
      <c r="E133" s="305" t="s">
        <v>766</v>
      </c>
      <c r="F133" s="306"/>
      <c r="G133" s="306">
        <v>4</v>
      </c>
      <c r="H133" s="306" t="s">
        <v>39</v>
      </c>
      <c r="I133" s="306">
        <f t="shared" si="84"/>
        <v>16401.254999999997</v>
      </c>
      <c r="J133" s="311">
        <v>15665</v>
      </c>
      <c r="K133" s="308">
        <f t="shared" si="85"/>
        <v>65605.01999999999</v>
      </c>
      <c r="L133" s="1">
        <f t="shared" si="86"/>
        <v>0.0066711415696313918</v>
      </c>
      <c r="M133" s="309">
        <f t="shared" si="87"/>
        <v>18474.492415903758</v>
      </c>
      <c r="N133" s="309">
        <f t="shared" si="88"/>
        <v>84079.512415903751</v>
      </c>
    </row>
    <row r="134" ht="14.25">
      <c r="A134" s="310"/>
      <c r="B134" s="302" t="s">
        <v>11</v>
      </c>
      <c r="C134" s="303" t="s">
        <v>190</v>
      </c>
      <c r="D134" s="304" t="s">
        <v>794</v>
      </c>
      <c r="E134" s="305" t="s">
        <v>766</v>
      </c>
      <c r="F134" s="306"/>
      <c r="G134" s="306">
        <v>2</v>
      </c>
      <c r="H134" s="306" t="s">
        <v>39</v>
      </c>
      <c r="I134" s="306">
        <f t="shared" si="84"/>
        <v>13460.933489999999</v>
      </c>
      <c r="J134" s="307">
        <v>12856.67</v>
      </c>
      <c r="K134" s="308">
        <f t="shared" si="85"/>
        <v>26921.866979999999</v>
      </c>
      <c r="L134" s="1">
        <f t="shared" si="86"/>
        <v>0.0027375890738599693</v>
      </c>
      <c r="M134" s="309">
        <f t="shared" si="87"/>
        <v>7581.2464860765203</v>
      </c>
      <c r="N134" s="309">
        <f t="shared" si="88"/>
        <v>34503.113466076516</v>
      </c>
    </row>
    <row r="135" ht="14.25">
      <c r="A135" s="310"/>
      <c r="B135" s="302" t="s">
        <v>11</v>
      </c>
      <c r="C135" s="303" t="s">
        <v>190</v>
      </c>
      <c r="D135" s="304" t="s">
        <v>792</v>
      </c>
      <c r="E135" s="305" t="s">
        <v>766</v>
      </c>
      <c r="F135" s="306"/>
      <c r="G135" s="306">
        <v>1</v>
      </c>
      <c r="H135" s="306" t="s">
        <v>39</v>
      </c>
      <c r="I135" s="306">
        <f t="shared" si="84"/>
        <v>11366.933489999999</v>
      </c>
      <c r="J135" s="307">
        <v>10856.67</v>
      </c>
      <c r="K135" s="308">
        <f t="shared" si="85"/>
        <v>11366.933489999999</v>
      </c>
      <c r="L135" s="1">
        <f t="shared" si="86"/>
        <v>0.0011558631111517723</v>
      </c>
      <c r="M135" s="309">
        <f t="shared" si="87"/>
        <v>3200.94905165927</v>
      </c>
      <c r="N135" s="309">
        <f t="shared" si="88"/>
        <v>14567.88254165927</v>
      </c>
    </row>
    <row r="136" ht="14.25">
      <c r="A136" s="310"/>
      <c r="B136" s="302" t="s">
        <v>11</v>
      </c>
      <c r="C136" s="303" t="s">
        <v>201</v>
      </c>
      <c r="D136" s="304" t="s">
        <v>228</v>
      </c>
      <c r="E136" s="305" t="s">
        <v>766</v>
      </c>
      <c r="F136" s="306"/>
      <c r="G136" s="306">
        <v>1</v>
      </c>
      <c r="H136" s="306" t="s">
        <v>39</v>
      </c>
      <c r="I136" s="306">
        <f t="shared" si="84"/>
        <v>24826.118489999997</v>
      </c>
      <c r="J136" s="311">
        <v>23711.669999999998</v>
      </c>
      <c r="K136" s="308">
        <f t="shared" si="85"/>
        <v>24826.118489999997</v>
      </c>
      <c r="L136" s="1">
        <f t="shared" si="86"/>
        <v>0.0025244798503412319</v>
      </c>
      <c r="M136" s="309">
        <f t="shared" si="87"/>
        <v>6991.079916747728</v>
      </c>
      <c r="N136" s="309">
        <f t="shared" si="88"/>
        <v>31817.198406747724</v>
      </c>
    </row>
    <row r="137" ht="14.25">
      <c r="A137" s="310"/>
      <c r="B137" s="302" t="s">
        <v>11</v>
      </c>
      <c r="C137" s="303" t="s">
        <v>201</v>
      </c>
      <c r="D137" s="304" t="s">
        <v>792</v>
      </c>
      <c r="E137" s="305" t="s">
        <v>766</v>
      </c>
      <c r="F137" s="306"/>
      <c r="G137" s="306">
        <v>1</v>
      </c>
      <c r="H137" s="306" t="s">
        <v>39</v>
      </c>
      <c r="I137" s="306">
        <f t="shared" si="84"/>
        <v>15824.535989999998</v>
      </c>
      <c r="J137" s="307">
        <v>15114.17</v>
      </c>
      <c r="K137" s="308">
        <f t="shared" si="85"/>
        <v>15824.535989999998</v>
      </c>
      <c r="L137" s="1">
        <f t="shared" si="86"/>
        <v>0.0016091408837771418</v>
      </c>
      <c r="M137" s="309">
        <f t="shared" si="87"/>
        <v>4456.2179865572953</v>
      </c>
      <c r="N137" s="309">
        <f t="shared" si="88"/>
        <v>20280.753976557295</v>
      </c>
    </row>
    <row r="138" ht="14.25">
      <c r="A138" s="310"/>
      <c r="B138" s="302" t="s">
        <v>11</v>
      </c>
      <c r="C138" s="303" t="s">
        <v>795</v>
      </c>
      <c r="D138" s="304">
        <v>200</v>
      </c>
      <c r="E138" s="305"/>
      <c r="F138" s="306"/>
      <c r="G138" s="306">
        <v>2</v>
      </c>
      <c r="H138" s="306" t="s">
        <v>39</v>
      </c>
      <c r="I138" s="306">
        <f t="shared" si="84"/>
        <v>52585.574999999997</v>
      </c>
      <c r="J138" s="307">
        <v>50225</v>
      </c>
      <c r="K138" s="308">
        <f t="shared" si="85"/>
        <v>105171.14999999999</v>
      </c>
      <c r="M138" s="309">
        <f t="shared" si="87"/>
        <v>0</v>
      </c>
      <c r="N138" s="309">
        <f t="shared" si="88"/>
        <v>105171.14999999999</v>
      </c>
    </row>
    <row r="139" ht="14.25">
      <c r="A139" s="310"/>
      <c r="B139" s="302" t="s">
        <v>11</v>
      </c>
      <c r="C139" s="303" t="s">
        <v>771</v>
      </c>
      <c r="D139" s="304">
        <v>100</v>
      </c>
      <c r="E139" s="305"/>
      <c r="F139" s="306"/>
      <c r="G139" s="306">
        <v>2</v>
      </c>
      <c r="H139" s="306" t="s">
        <v>39</v>
      </c>
      <c r="I139" s="306">
        <f t="shared" si="84"/>
        <v>26153.012999999999</v>
      </c>
      <c r="J139" s="307">
        <v>24979</v>
      </c>
      <c r="K139" s="308">
        <f t="shared" si="85"/>
        <v>52306.025999999998</v>
      </c>
      <c r="M139" s="309">
        <f t="shared" si="87"/>
        <v>0</v>
      </c>
      <c r="N139" s="309">
        <f t="shared" si="88"/>
        <v>52306.025999999998</v>
      </c>
    </row>
    <row r="140" ht="14.25">
      <c r="A140" s="310"/>
      <c r="B140" s="302" t="s">
        <v>11</v>
      </c>
      <c r="C140" s="303" t="s">
        <v>771</v>
      </c>
      <c r="D140" s="304">
        <v>80</v>
      </c>
      <c r="E140" s="305"/>
      <c r="F140" s="306"/>
      <c r="G140" s="306">
        <v>2</v>
      </c>
      <c r="H140" s="306" t="s">
        <v>39</v>
      </c>
      <c r="I140" s="306">
        <f t="shared" si="84"/>
        <v>11888.684999999999</v>
      </c>
      <c r="J140" s="307">
        <v>11355</v>
      </c>
      <c r="K140" s="308">
        <f t="shared" si="85"/>
        <v>23777.369999999999</v>
      </c>
      <c r="M140" s="309">
        <f t="shared" si="87"/>
        <v>0</v>
      </c>
      <c r="N140" s="309">
        <f t="shared" si="88"/>
        <v>23777.369999999999</v>
      </c>
    </row>
    <row r="141" ht="14.25">
      <c r="A141" s="310"/>
      <c r="B141" s="302" t="s">
        <v>11</v>
      </c>
      <c r="C141" s="303" t="s">
        <v>771</v>
      </c>
      <c r="D141" s="304">
        <v>50</v>
      </c>
      <c r="E141" s="305"/>
      <c r="F141" s="306"/>
      <c r="G141" s="306">
        <v>4</v>
      </c>
      <c r="H141" s="306" t="s">
        <v>39</v>
      </c>
      <c r="I141" s="306">
        <f t="shared" si="84"/>
        <v>6238.0259999999998</v>
      </c>
      <c r="J141" s="307">
        <v>5958</v>
      </c>
      <c r="K141" s="308">
        <f t="shared" si="85"/>
        <v>24952.103999999999</v>
      </c>
      <c r="M141" s="309">
        <f t="shared" si="87"/>
        <v>0</v>
      </c>
      <c r="N141" s="309">
        <f t="shared" si="88"/>
        <v>24952.103999999999</v>
      </c>
    </row>
    <row r="142" ht="14.25">
      <c r="A142" s="310"/>
      <c r="B142" s="302" t="s">
        <v>11</v>
      </c>
      <c r="C142" s="303" t="s">
        <v>771</v>
      </c>
      <c r="D142" s="304">
        <v>45</v>
      </c>
      <c r="E142" s="305"/>
      <c r="F142" s="306"/>
      <c r="G142" s="306">
        <v>4</v>
      </c>
      <c r="H142" s="306" t="s">
        <v>39</v>
      </c>
      <c r="I142" s="306">
        <f t="shared" si="84"/>
        <v>4374.366</v>
      </c>
      <c r="J142" s="307">
        <v>4178</v>
      </c>
      <c r="K142" s="308">
        <f t="shared" si="85"/>
        <v>17497.464</v>
      </c>
      <c r="M142" s="309">
        <f t="shared" si="87"/>
        <v>0</v>
      </c>
      <c r="N142" s="309">
        <f t="shared" si="88"/>
        <v>17497.464</v>
      </c>
    </row>
    <row r="143" ht="28.5">
      <c r="A143" s="310"/>
      <c r="B143" s="302" t="s">
        <v>11</v>
      </c>
      <c r="C143" s="31" t="s">
        <v>137</v>
      </c>
      <c r="D143" s="304"/>
      <c r="E143" s="312" t="s">
        <v>772</v>
      </c>
      <c r="F143" s="306"/>
      <c r="G143" s="306">
        <v>11</v>
      </c>
      <c r="H143" s="306" t="s">
        <v>773</v>
      </c>
      <c r="I143" s="306">
        <f t="shared" si="84"/>
        <v>1063.752</v>
      </c>
      <c r="J143" s="307">
        <v>1016</v>
      </c>
      <c r="K143" s="308">
        <f t="shared" si="85"/>
        <v>11701.271999999999</v>
      </c>
      <c r="M143" s="309">
        <f t="shared" si="87"/>
        <v>0</v>
      </c>
      <c r="N143" s="309">
        <f t="shared" si="88"/>
        <v>11701.271999999999</v>
      </c>
    </row>
    <row r="144" ht="28.5">
      <c r="A144" s="310"/>
      <c r="B144" s="302" t="s">
        <v>11</v>
      </c>
      <c r="C144" s="31" t="s">
        <v>140</v>
      </c>
      <c r="D144" s="304"/>
      <c r="E144" s="312" t="s">
        <v>774</v>
      </c>
      <c r="F144" s="306"/>
      <c r="G144" s="306">
        <v>3</v>
      </c>
      <c r="H144" s="306" t="s">
        <v>773</v>
      </c>
      <c r="I144" s="306">
        <f t="shared" si="84"/>
        <v>2837.3699999999999</v>
      </c>
      <c r="J144" s="307">
        <v>2710</v>
      </c>
      <c r="K144" s="308">
        <f t="shared" si="85"/>
        <v>8512.1100000000006</v>
      </c>
      <c r="M144" s="309">
        <f t="shared" si="87"/>
        <v>0</v>
      </c>
      <c r="N144" s="309">
        <f t="shared" si="88"/>
        <v>8512.1100000000006</v>
      </c>
    </row>
    <row r="145" ht="14.25">
      <c r="A145" s="310"/>
      <c r="B145" s="302" t="s">
        <v>11</v>
      </c>
      <c r="C145" s="303" t="s">
        <v>75</v>
      </c>
      <c r="D145" s="304">
        <v>3.2000000000000002</v>
      </c>
      <c r="E145" s="305"/>
      <c r="F145" s="306"/>
      <c r="G145" s="306">
        <v>60</v>
      </c>
      <c r="H145" s="306" t="s">
        <v>76</v>
      </c>
      <c r="I145" s="306">
        <f t="shared" si="84"/>
        <v>593.3034899999999</v>
      </c>
      <c r="J145" s="307">
        <v>566.66999999999996</v>
      </c>
      <c r="K145" s="308">
        <f t="shared" si="85"/>
        <v>35598.209399999992</v>
      </c>
      <c r="M145" s="309">
        <f t="shared" si="87"/>
        <v>0</v>
      </c>
      <c r="N145" s="309">
        <f t="shared" si="88"/>
        <v>35598.209399999992</v>
      </c>
    </row>
    <row r="146" ht="14.25">
      <c r="A146" s="310"/>
      <c r="B146" s="302" t="s">
        <v>11</v>
      </c>
      <c r="C146" s="303" t="s">
        <v>75</v>
      </c>
      <c r="D146" s="304">
        <v>2.5</v>
      </c>
      <c r="E146" s="305"/>
      <c r="F146" s="306"/>
      <c r="G146" s="306">
        <v>60</v>
      </c>
      <c r="H146" s="306" t="s">
        <v>76</v>
      </c>
      <c r="I146" s="306">
        <f t="shared" si="84"/>
        <v>672.41480999999999</v>
      </c>
      <c r="J146" s="307">
        <v>642.23000000000002</v>
      </c>
      <c r="K146" s="308">
        <f t="shared" si="85"/>
        <v>40344.888599999998</v>
      </c>
      <c r="M146" s="309">
        <f t="shared" si="87"/>
        <v>0</v>
      </c>
      <c r="N146" s="309">
        <f t="shared" si="88"/>
        <v>40344.888599999998</v>
      </c>
    </row>
    <row r="147" ht="14.25">
      <c r="A147" s="310"/>
      <c r="B147" s="302" t="s">
        <v>11</v>
      </c>
      <c r="C147" s="304" t="s">
        <v>145</v>
      </c>
      <c r="D147" s="304">
        <v>125</v>
      </c>
      <c r="E147" s="305"/>
      <c r="F147" s="306"/>
      <c r="G147" s="306">
        <v>561</v>
      </c>
      <c r="H147" s="306" t="s">
        <v>39</v>
      </c>
      <c r="I147" s="306">
        <f t="shared" si="84"/>
        <v>93.182999999999993</v>
      </c>
      <c r="J147" s="307">
        <v>89</v>
      </c>
      <c r="K147" s="308">
        <f t="shared" si="85"/>
        <v>52275.662999999993</v>
      </c>
      <c r="M147" s="309">
        <f t="shared" si="87"/>
        <v>0</v>
      </c>
      <c r="N147" s="309">
        <f t="shared" si="88"/>
        <v>52275.662999999993</v>
      </c>
    </row>
    <row r="148" ht="14.25">
      <c r="A148" s="310"/>
      <c r="B148" s="302" t="s">
        <v>11</v>
      </c>
      <c r="C148" s="304" t="s">
        <v>147</v>
      </c>
      <c r="D148" s="304">
        <v>230</v>
      </c>
      <c r="E148" s="305"/>
      <c r="F148" s="306"/>
      <c r="G148" s="306">
        <v>140</v>
      </c>
      <c r="H148" s="306" t="s">
        <v>39</v>
      </c>
      <c r="I148" s="306">
        <f t="shared" si="84"/>
        <v>130.875</v>
      </c>
      <c r="J148" s="307">
        <v>125</v>
      </c>
      <c r="K148" s="308">
        <f t="shared" si="85"/>
        <v>18322.5</v>
      </c>
      <c r="M148" s="309">
        <f t="shared" si="87"/>
        <v>0</v>
      </c>
      <c r="N148" s="309">
        <f t="shared" si="88"/>
        <v>18322.5</v>
      </c>
    </row>
    <row r="149" ht="14.25">
      <c r="A149" s="310"/>
      <c r="B149" s="302" t="s">
        <v>11</v>
      </c>
      <c r="C149" s="303" t="s">
        <v>775</v>
      </c>
      <c r="D149" s="304" t="s">
        <v>776</v>
      </c>
      <c r="E149" s="305"/>
      <c r="F149" s="306"/>
      <c r="G149" s="306">
        <v>28</v>
      </c>
      <c r="H149" s="306" t="s">
        <v>39</v>
      </c>
      <c r="I149" s="306">
        <f t="shared" si="84"/>
        <v>120.40499999999999</v>
      </c>
      <c r="J149" s="307">
        <v>115</v>
      </c>
      <c r="K149" s="308">
        <f t="shared" si="85"/>
        <v>3371.3399999999997</v>
      </c>
      <c r="M149" s="309">
        <f t="shared" si="87"/>
        <v>0</v>
      </c>
      <c r="N149" s="309">
        <f t="shared" si="88"/>
        <v>3371.3399999999997</v>
      </c>
    </row>
    <row r="150" ht="28.5">
      <c r="A150" s="310"/>
      <c r="B150" s="302" t="s">
        <v>11</v>
      </c>
      <c r="C150" s="313" t="s">
        <v>779</v>
      </c>
      <c r="D150" s="314"/>
      <c r="E150" s="312" t="s">
        <v>780</v>
      </c>
      <c r="F150" s="306"/>
      <c r="G150" s="306">
        <v>5</v>
      </c>
      <c r="H150" s="306" t="s">
        <v>781</v>
      </c>
      <c r="I150" s="306">
        <f t="shared" si="84"/>
        <v>577.25297999999998</v>
      </c>
      <c r="J150" s="307">
        <v>551.34000000000003</v>
      </c>
      <c r="K150" s="308">
        <f t="shared" si="85"/>
        <v>2886.2649000000001</v>
      </c>
      <c r="M150" s="309">
        <f t="shared" si="87"/>
        <v>0</v>
      </c>
      <c r="N150" s="309">
        <f t="shared" si="88"/>
        <v>2886.2649000000001</v>
      </c>
    </row>
    <row r="151" ht="14.25">
      <c r="A151" s="310"/>
      <c r="B151" s="302" t="s">
        <v>11</v>
      </c>
      <c r="C151" s="313" t="s">
        <v>782</v>
      </c>
      <c r="D151" s="304"/>
      <c r="E151" s="305" t="s">
        <v>783</v>
      </c>
      <c r="F151" s="306"/>
      <c r="G151" s="306">
        <v>5</v>
      </c>
      <c r="H151" s="306" t="s">
        <v>784</v>
      </c>
      <c r="I151" s="306">
        <f t="shared" si="84"/>
        <v>2188.23</v>
      </c>
      <c r="J151" s="307">
        <v>2090</v>
      </c>
      <c r="K151" s="308">
        <f t="shared" si="85"/>
        <v>10941.15</v>
      </c>
      <c r="L151" s="1">
        <f t="shared" si="86"/>
        <v>0.0011125666996911596</v>
      </c>
      <c r="M151" s="309">
        <f t="shared" si="87"/>
        <v>3081.0476499552233</v>
      </c>
      <c r="N151" s="309">
        <f t="shared" si="88"/>
        <v>14022.197649955222</v>
      </c>
    </row>
    <row r="152" ht="14.25">
      <c r="A152" s="310"/>
      <c r="B152" s="302" t="s">
        <v>11</v>
      </c>
      <c r="C152" s="303" t="s">
        <v>151</v>
      </c>
      <c r="D152" s="304">
        <v>219</v>
      </c>
      <c r="E152" s="305" t="s">
        <v>778</v>
      </c>
      <c r="F152" s="306"/>
      <c r="G152" s="306">
        <v>36</v>
      </c>
      <c r="H152" s="306" t="s">
        <v>39</v>
      </c>
      <c r="I152" s="306">
        <f t="shared" si="84"/>
        <v>1574.86599</v>
      </c>
      <c r="J152" s="307">
        <v>1504.1700000000001</v>
      </c>
      <c r="K152" s="308">
        <f t="shared" si="85"/>
        <v>56695.175640000001</v>
      </c>
      <c r="L152" s="1">
        <f t="shared" si="86"/>
        <v>0.0057651311288306464</v>
      </c>
      <c r="M152" s="309">
        <f t="shared" si="87"/>
        <v>15965.46411203764</v>
      </c>
      <c r="N152" s="309">
        <f t="shared" si="88"/>
        <v>72660.639752037649</v>
      </c>
    </row>
    <row r="153" ht="14.25">
      <c r="A153" s="310"/>
      <c r="B153" s="302" t="s">
        <v>11</v>
      </c>
      <c r="C153" s="303" t="s">
        <v>151</v>
      </c>
      <c r="D153" s="304">
        <v>219</v>
      </c>
      <c r="E153" s="305" t="s">
        <v>766</v>
      </c>
      <c r="F153" s="306"/>
      <c r="G153" s="306">
        <v>54</v>
      </c>
      <c r="H153" s="306" t="s">
        <v>39</v>
      </c>
      <c r="I153" s="306">
        <f t="shared" si="84"/>
        <v>1650.77349</v>
      </c>
      <c r="J153" s="307">
        <v>1576.6700000000001</v>
      </c>
      <c r="K153" s="308">
        <f t="shared" si="85"/>
        <v>89141.768460000007</v>
      </c>
      <c r="L153" s="1">
        <f t="shared" si="86"/>
        <v>0.00906450995920682</v>
      </c>
      <c r="M153" s="309">
        <f t="shared" si="87"/>
        <v>25102.483397680833</v>
      </c>
      <c r="N153" s="309">
        <f t="shared" si="88"/>
        <v>114244.25185768084</v>
      </c>
    </row>
    <row r="154" ht="14.25">
      <c r="A154" s="310"/>
      <c r="B154" s="302" t="s">
        <v>11</v>
      </c>
      <c r="C154" s="303" t="s">
        <v>151</v>
      </c>
      <c r="D154" s="304">
        <v>133</v>
      </c>
      <c r="E154" s="305" t="s">
        <v>766</v>
      </c>
      <c r="F154" s="306"/>
      <c r="G154" s="306">
        <v>22</v>
      </c>
      <c r="H154" s="306" t="s">
        <v>39</v>
      </c>
      <c r="I154" s="306">
        <f t="shared" si="84"/>
        <v>1052.2349999999999</v>
      </c>
      <c r="J154" s="307">
        <v>1005</v>
      </c>
      <c r="K154" s="308">
        <f t="shared" si="85"/>
        <v>23149.169999999998</v>
      </c>
      <c r="L154" s="1">
        <f t="shared" si="86"/>
        <v>0.0023539569119781375</v>
      </c>
      <c r="M154" s="309">
        <f t="shared" si="87"/>
        <v>6518.8481856947355</v>
      </c>
      <c r="N154" s="309">
        <f t="shared" si="88"/>
        <v>29668.018185694735</v>
      </c>
    </row>
    <row r="155" ht="14.25">
      <c r="A155" s="310"/>
      <c r="B155" s="302" t="s">
        <v>11</v>
      </c>
      <c r="C155" s="303" t="s">
        <v>151</v>
      </c>
      <c r="D155" s="304">
        <v>108</v>
      </c>
      <c r="E155" s="305" t="s">
        <v>766</v>
      </c>
      <c r="F155" s="306"/>
      <c r="G155" s="306">
        <v>16</v>
      </c>
      <c r="H155" s="306" t="s">
        <v>39</v>
      </c>
      <c r="I155" s="306">
        <f t="shared" si="84"/>
        <v>795.71999999999991</v>
      </c>
      <c r="J155" s="307">
        <v>760</v>
      </c>
      <c r="K155" s="308">
        <f t="shared" si="85"/>
        <v>12731.519999999999</v>
      </c>
      <c r="L155" s="1">
        <f t="shared" si="86"/>
        <v>0.0012946230687315311</v>
      </c>
      <c r="M155" s="309">
        <f t="shared" si="87"/>
        <v>3585.2190835842594</v>
      </c>
      <c r="N155" s="309">
        <f t="shared" si="88"/>
        <v>16316.739083584258</v>
      </c>
    </row>
    <row r="156" ht="14.25">
      <c r="A156" s="310"/>
      <c r="B156" s="302" t="s">
        <v>11</v>
      </c>
      <c r="C156" s="303" t="s">
        <v>151</v>
      </c>
      <c r="D156" s="304">
        <v>89</v>
      </c>
      <c r="E156" s="305" t="s">
        <v>778</v>
      </c>
      <c r="F156" s="306"/>
      <c r="G156" s="306">
        <v>8</v>
      </c>
      <c r="H156" s="306" t="s">
        <v>39</v>
      </c>
      <c r="I156" s="306">
        <f t="shared" si="84"/>
        <v>1008.60651</v>
      </c>
      <c r="J156" s="307">
        <v>963.33000000000004</v>
      </c>
      <c r="K156" s="308">
        <f t="shared" si="85"/>
        <v>8068.8520799999997</v>
      </c>
      <c r="L156" s="1">
        <f t="shared" si="86"/>
        <v>0.00082049292157970125</v>
      </c>
      <c r="M156" s="309">
        <f t="shared" si="87"/>
        <v>2272.2033551244899</v>
      </c>
      <c r="N156" s="309">
        <f t="shared" si="88"/>
        <v>10341.05543512449</v>
      </c>
    </row>
    <row r="157" ht="14.25">
      <c r="A157" s="310"/>
      <c r="B157" s="302" t="s">
        <v>11</v>
      </c>
      <c r="C157" s="303" t="s">
        <v>151</v>
      </c>
      <c r="D157" s="304">
        <v>89</v>
      </c>
      <c r="E157" s="305" t="s">
        <v>766</v>
      </c>
      <c r="F157" s="306"/>
      <c r="G157" s="306">
        <v>18</v>
      </c>
      <c r="H157" s="306" t="s">
        <v>39</v>
      </c>
      <c r="I157" s="306">
        <f t="shared" si="84"/>
        <v>704.97650999999996</v>
      </c>
      <c r="J157" s="307">
        <v>673.33000000000004</v>
      </c>
      <c r="K157" s="308">
        <f t="shared" si="85"/>
        <v>12689.57718</v>
      </c>
      <c r="L157" s="1">
        <f t="shared" si="86"/>
        <v>0.0012903580522731935</v>
      </c>
      <c r="M157" s="309">
        <f t="shared" si="87"/>
        <v>3573.4079095309385</v>
      </c>
      <c r="N157" s="309">
        <f t="shared" si="88"/>
        <v>16262.985089530939</v>
      </c>
    </row>
    <row r="158" ht="14.25">
      <c r="A158" s="310"/>
      <c r="B158" s="302" t="s">
        <v>11</v>
      </c>
      <c r="C158" s="303" t="s">
        <v>151</v>
      </c>
      <c r="D158" s="304">
        <v>57</v>
      </c>
      <c r="E158" s="305" t="s">
        <v>766</v>
      </c>
      <c r="F158" s="306"/>
      <c r="G158" s="306">
        <v>20</v>
      </c>
      <c r="H158" s="306" t="s">
        <v>39</v>
      </c>
      <c r="I158" s="306">
        <f t="shared" si="84"/>
        <v>554.90999999999997</v>
      </c>
      <c r="J158" s="307">
        <v>530</v>
      </c>
      <c r="K158" s="308">
        <f t="shared" si="85"/>
        <v>11098.199999999999</v>
      </c>
      <c r="L158" s="1">
        <f t="shared" si="86"/>
        <v>0.0011285365566245254</v>
      </c>
      <c r="M158" s="309">
        <f t="shared" si="87"/>
        <v>3125.2732143086473</v>
      </c>
      <c r="N158" s="309">
        <f t="shared" si="88"/>
        <v>14223.473214308646</v>
      </c>
    </row>
    <row r="159" ht="14.25">
      <c r="A159" s="310"/>
      <c r="B159" s="302" t="s">
        <v>11</v>
      </c>
      <c r="C159" s="303" t="s">
        <v>151</v>
      </c>
      <c r="D159" s="304">
        <v>45</v>
      </c>
      <c r="E159" s="305" t="s">
        <v>766</v>
      </c>
      <c r="F159" s="306"/>
      <c r="G159" s="306">
        <v>8</v>
      </c>
      <c r="H159" s="306" t="s">
        <v>39</v>
      </c>
      <c r="I159" s="306">
        <f t="shared" si="84"/>
        <v>567.99749999999995</v>
      </c>
      <c r="J159" s="307">
        <v>542.5</v>
      </c>
      <c r="K159" s="308">
        <f t="shared" si="85"/>
        <v>4543.9799999999996</v>
      </c>
      <c r="L159" s="1">
        <f t="shared" si="86"/>
        <v>0.00046206119393872076</v>
      </c>
      <c r="M159" s="309">
        <f t="shared" si="87"/>
        <v>1279.5929952924084</v>
      </c>
      <c r="N159" s="309">
        <f t="shared" si="88"/>
        <v>5823.5729952924085</v>
      </c>
    </row>
    <row r="160" ht="14.25">
      <c r="A160" s="310"/>
      <c r="B160" s="302" t="s">
        <v>11</v>
      </c>
      <c r="C160" s="303" t="s">
        <v>211</v>
      </c>
      <c r="D160" s="304" t="s">
        <v>796</v>
      </c>
      <c r="E160" s="304"/>
      <c r="F160" s="306"/>
      <c r="G160" s="306">
        <v>12</v>
      </c>
      <c r="H160" s="306" t="s">
        <v>39</v>
      </c>
      <c r="I160" s="306">
        <f t="shared" si="84"/>
        <v>6332.6015099999995</v>
      </c>
      <c r="J160" s="307">
        <v>6048.3299999999999</v>
      </c>
      <c r="K160" s="308">
        <f t="shared" si="85"/>
        <v>75991.21811999999</v>
      </c>
      <c r="L160" s="1">
        <f t="shared" si="86"/>
        <v>0.0077272771828628102</v>
      </c>
      <c r="M160" s="309">
        <f t="shared" si="87"/>
        <v>21399.264611659721</v>
      </c>
      <c r="N160" s="309">
        <f t="shared" si="88"/>
        <v>97390.482731659707</v>
      </c>
    </row>
    <row r="161" ht="28.5">
      <c r="A161" s="310"/>
      <c r="B161" s="302" t="s">
        <v>11</v>
      </c>
      <c r="C161" s="303" t="s">
        <v>797</v>
      </c>
      <c r="D161" s="304"/>
      <c r="E161" s="314" t="s">
        <v>798</v>
      </c>
      <c r="F161" s="306"/>
      <c r="G161" s="306">
        <v>0</v>
      </c>
      <c r="H161" s="306" t="s">
        <v>39</v>
      </c>
      <c r="I161" s="306">
        <f t="shared" si="84"/>
        <v>9674.2799999999988</v>
      </c>
      <c r="J161" s="307">
        <v>9240</v>
      </c>
      <c r="K161" s="308">
        <f t="shared" si="85"/>
        <v>0</v>
      </c>
      <c r="M161" s="309">
        <f t="shared" si="87"/>
        <v>0</v>
      </c>
      <c r="N161" s="309">
        <f t="shared" si="88"/>
        <v>0</v>
      </c>
    </row>
    <row r="162" ht="28.5">
      <c r="A162" s="310"/>
      <c r="B162" s="302" t="s">
        <v>11</v>
      </c>
      <c r="C162" s="303" t="s">
        <v>154</v>
      </c>
      <c r="D162" s="304"/>
      <c r="E162" s="314"/>
      <c r="F162" s="306"/>
      <c r="G162" s="306">
        <v>2</v>
      </c>
      <c r="H162" s="306" t="s">
        <v>39</v>
      </c>
      <c r="I162" s="306">
        <f t="shared" si="84"/>
        <v>74127.599999999991</v>
      </c>
      <c r="J162" s="307">
        <v>70800</v>
      </c>
      <c r="K162" s="308">
        <f t="shared" si="85"/>
        <v>148255.19999999998</v>
      </c>
      <c r="M162" s="309">
        <f t="shared" si="87"/>
        <v>0</v>
      </c>
      <c r="N162" s="309">
        <f t="shared" si="88"/>
        <v>148255.19999999998</v>
      </c>
    </row>
    <row r="163" ht="28.5">
      <c r="A163" s="320"/>
      <c r="B163" s="302" t="s">
        <v>11</v>
      </c>
      <c r="C163" s="303" t="s">
        <v>155</v>
      </c>
      <c r="D163" s="304"/>
      <c r="E163" s="305"/>
      <c r="F163" s="306"/>
      <c r="G163" s="306">
        <v>90</v>
      </c>
      <c r="H163" s="306" t="s">
        <v>785</v>
      </c>
      <c r="I163" s="306">
        <f t="shared" si="84"/>
        <v>8704.1716799999995</v>
      </c>
      <c r="J163" s="307">
        <v>8313.4400000000005</v>
      </c>
      <c r="K163" s="308">
        <f t="shared" si="85"/>
        <v>783375.45120000001</v>
      </c>
      <c r="M163" s="309">
        <f t="shared" si="87"/>
        <v>0</v>
      </c>
      <c r="N163" s="309">
        <f t="shared" si="88"/>
        <v>783375.45120000001</v>
      </c>
      <c r="O163" s="309">
        <f>SUM(M110:M163)</f>
        <v>929827.29462683317</v>
      </c>
    </row>
    <row r="164" ht="14.25">
      <c r="A164" s="301">
        <v>6</v>
      </c>
      <c r="B164" s="302" t="s">
        <v>12</v>
      </c>
      <c r="C164" s="303" t="s">
        <v>33</v>
      </c>
      <c r="D164" s="304">
        <v>89</v>
      </c>
      <c r="E164" s="305" t="s">
        <v>766</v>
      </c>
      <c r="F164" s="306"/>
      <c r="G164" s="306">
        <v>160</v>
      </c>
      <c r="H164" s="306" t="s">
        <v>35</v>
      </c>
      <c r="I164" s="306">
        <f t="shared" si="84"/>
        <v>1423.05099</v>
      </c>
      <c r="J164" s="311">
        <v>1359.1700000000001</v>
      </c>
      <c r="K164" s="308">
        <f t="shared" si="85"/>
        <v>227688.15839999999</v>
      </c>
      <c r="L164" s="1">
        <f t="shared" si="86"/>
        <v>0.02315280047799783</v>
      </c>
      <c r="M164" s="309">
        <f t="shared" si="87"/>
        <v>64117.397655726556</v>
      </c>
      <c r="N164" s="309">
        <f t="shared" si="88"/>
        <v>291805.55605572654</v>
      </c>
    </row>
    <row r="165" ht="14.25">
      <c r="A165" s="310"/>
      <c r="B165" s="302" t="s">
        <v>12</v>
      </c>
      <c r="C165" s="303" t="s">
        <v>767</v>
      </c>
      <c r="D165" s="304">
        <v>89</v>
      </c>
      <c r="E165" s="305" t="s">
        <v>766</v>
      </c>
      <c r="F165" s="306" t="s">
        <v>768</v>
      </c>
      <c r="G165" s="306">
        <v>4</v>
      </c>
      <c r="H165" s="306" t="s">
        <v>39</v>
      </c>
      <c r="I165" s="306">
        <f t="shared" si="84"/>
        <v>8424.8634899999997</v>
      </c>
      <c r="J165" s="307">
        <v>8046.6700000000001</v>
      </c>
      <c r="K165" s="308">
        <f t="shared" si="85"/>
        <v>33699.453959999999</v>
      </c>
      <c r="L165" s="1">
        <f t="shared" si="86"/>
        <v>0.003426777831733536</v>
      </c>
      <c r="M165" s="309">
        <f t="shared" si="87"/>
        <v>9489.8272510871575</v>
      </c>
      <c r="N165" s="309">
        <f t="shared" si="88"/>
        <v>43189.28121108716</v>
      </c>
    </row>
    <row r="166" ht="14.25">
      <c r="A166" s="310"/>
      <c r="B166" s="302" t="s">
        <v>12</v>
      </c>
      <c r="C166" s="303" t="s">
        <v>767</v>
      </c>
      <c r="D166" s="304">
        <v>57</v>
      </c>
      <c r="E166" s="305" t="s">
        <v>769</v>
      </c>
      <c r="F166" s="306"/>
      <c r="G166" s="306">
        <v>10</v>
      </c>
      <c r="H166" s="306" t="s">
        <v>39</v>
      </c>
      <c r="I166" s="306">
        <f t="shared" si="84"/>
        <v>544.43999999999994</v>
      </c>
      <c r="J166" s="307">
        <v>520</v>
      </c>
      <c r="K166" s="308">
        <f t="shared" si="85"/>
        <v>5444.3999999999996</v>
      </c>
      <c r="L166" s="1">
        <f t="shared" si="86"/>
        <v>0.0005536217070233521</v>
      </c>
      <c r="M166" s="309">
        <f t="shared" si="87"/>
        <v>1533.1528975853741</v>
      </c>
      <c r="N166" s="309">
        <f t="shared" si="88"/>
        <v>6977.552897585374</v>
      </c>
    </row>
    <row r="167" ht="14.25">
      <c r="A167" s="310"/>
      <c r="B167" s="302" t="s">
        <v>12</v>
      </c>
      <c r="C167" s="303" t="s">
        <v>129</v>
      </c>
      <c r="D167" s="304" t="s">
        <v>794</v>
      </c>
      <c r="E167" s="305" t="s">
        <v>766</v>
      </c>
      <c r="F167" s="306"/>
      <c r="G167" s="306">
        <v>2</v>
      </c>
      <c r="H167" s="306" t="s">
        <v>39</v>
      </c>
      <c r="I167" s="306">
        <f t="shared" si="84"/>
        <v>4722.8390099999997</v>
      </c>
      <c r="J167" s="307">
        <v>4510.8299999999999</v>
      </c>
      <c r="K167" s="308">
        <f t="shared" si="85"/>
        <v>9445.6780199999994</v>
      </c>
      <c r="L167" s="1">
        <f t="shared" si="86"/>
        <v>0.00096049746334313354</v>
      </c>
      <c r="M167" s="309">
        <f t="shared" si="87"/>
        <v>2659.9200326980895</v>
      </c>
      <c r="N167" s="309">
        <f t="shared" si="88"/>
        <v>12105.598052698089</v>
      </c>
    </row>
    <row r="168" ht="14.25">
      <c r="A168" s="310"/>
      <c r="B168" s="302" t="s">
        <v>12</v>
      </c>
      <c r="C168" s="303" t="s">
        <v>129</v>
      </c>
      <c r="D168" s="304" t="s">
        <v>792</v>
      </c>
      <c r="E168" s="305" t="s">
        <v>766</v>
      </c>
      <c r="F168" s="306"/>
      <c r="G168" s="306">
        <v>2</v>
      </c>
      <c r="H168" s="306" t="s">
        <v>39</v>
      </c>
      <c r="I168" s="306">
        <f t="shared" si="84"/>
        <v>3967.2609899999998</v>
      </c>
      <c r="J168" s="307">
        <v>3789.1700000000001</v>
      </c>
      <c r="K168" s="308">
        <f t="shared" si="85"/>
        <v>7934.5219799999995</v>
      </c>
      <c r="L168" s="1">
        <f t="shared" si="86"/>
        <v>0.00080683337061602882</v>
      </c>
      <c r="M168" s="309">
        <f t="shared" si="87"/>
        <v>2234.3757557475274</v>
      </c>
      <c r="N168" s="309">
        <f t="shared" si="88"/>
        <v>10168.897735747527</v>
      </c>
    </row>
    <row r="169" ht="14.25">
      <c r="A169" s="310"/>
      <c r="B169" s="302" t="s">
        <v>12</v>
      </c>
      <c r="C169" s="303" t="s">
        <v>190</v>
      </c>
      <c r="D169" s="304" t="s">
        <v>792</v>
      </c>
      <c r="E169" s="305" t="s">
        <v>766</v>
      </c>
      <c r="F169" s="306"/>
      <c r="G169" s="306">
        <v>2</v>
      </c>
      <c r="H169" s="306" t="s">
        <v>39</v>
      </c>
      <c r="I169" s="306">
        <f t="shared" si="84"/>
        <v>11366.933489999999</v>
      </c>
      <c r="J169" s="307">
        <v>10856.67</v>
      </c>
      <c r="K169" s="308">
        <f t="shared" si="85"/>
        <v>22733.866979999999</v>
      </c>
      <c r="L169" s="1">
        <f t="shared" si="86"/>
        <v>0.0023117262223035446</v>
      </c>
      <c r="M169" s="309">
        <f t="shared" si="87"/>
        <v>6401.8981033185401</v>
      </c>
      <c r="N169" s="309">
        <f t="shared" si="88"/>
        <v>29135.76508331854</v>
      </c>
    </row>
    <row r="170" ht="14.25">
      <c r="A170" s="310"/>
      <c r="B170" s="302" t="s">
        <v>12</v>
      </c>
      <c r="C170" s="303" t="s">
        <v>771</v>
      </c>
      <c r="D170" s="304">
        <v>50</v>
      </c>
      <c r="E170" s="305"/>
      <c r="F170" s="306"/>
      <c r="G170" s="306">
        <v>4</v>
      </c>
      <c r="H170" s="306" t="s">
        <v>39</v>
      </c>
      <c r="I170" s="306">
        <f t="shared" si="84"/>
        <v>6238.0259999999998</v>
      </c>
      <c r="J170" s="307">
        <v>5958</v>
      </c>
      <c r="K170" s="308">
        <f t="shared" si="85"/>
        <v>24952.103999999999</v>
      </c>
      <c r="M170" s="309">
        <f t="shared" si="87"/>
        <v>0</v>
      </c>
      <c r="N170" s="309">
        <f t="shared" si="88"/>
        <v>24952.103999999999</v>
      </c>
    </row>
    <row r="171" ht="28.5">
      <c r="A171" s="310"/>
      <c r="B171" s="302" t="s">
        <v>12</v>
      </c>
      <c r="C171" s="31" t="s">
        <v>137</v>
      </c>
      <c r="D171" s="304"/>
      <c r="E171" s="312" t="s">
        <v>772</v>
      </c>
      <c r="F171" s="306"/>
      <c r="G171" s="306">
        <v>3</v>
      </c>
      <c r="H171" s="306" t="s">
        <v>773</v>
      </c>
      <c r="I171" s="306">
        <f t="shared" si="84"/>
        <v>1063.752</v>
      </c>
      <c r="J171" s="307">
        <v>1016</v>
      </c>
      <c r="K171" s="308">
        <f t="shared" si="85"/>
        <v>3191.2559999999999</v>
      </c>
      <c r="M171" s="309">
        <f t="shared" si="87"/>
        <v>0</v>
      </c>
      <c r="N171" s="309">
        <f t="shared" si="88"/>
        <v>3191.2559999999999</v>
      </c>
    </row>
    <row r="172" ht="28.5">
      <c r="A172" s="310"/>
      <c r="B172" s="302" t="s">
        <v>12</v>
      </c>
      <c r="C172" s="31" t="s">
        <v>140</v>
      </c>
      <c r="D172" s="304"/>
      <c r="E172" s="312" t="s">
        <v>774</v>
      </c>
      <c r="F172" s="306"/>
      <c r="G172" s="306">
        <v>1</v>
      </c>
      <c r="H172" s="306" t="s">
        <v>773</v>
      </c>
      <c r="I172" s="306">
        <f t="shared" si="84"/>
        <v>2837.3699999999999</v>
      </c>
      <c r="J172" s="307">
        <v>2710</v>
      </c>
      <c r="K172" s="308">
        <f t="shared" si="85"/>
        <v>2837.3699999999999</v>
      </c>
      <c r="M172" s="309">
        <f t="shared" si="87"/>
        <v>0</v>
      </c>
      <c r="N172" s="309">
        <f t="shared" si="88"/>
        <v>2837.3699999999999</v>
      </c>
    </row>
    <row r="173" ht="14.25">
      <c r="A173" s="310"/>
      <c r="B173" s="302" t="s">
        <v>12</v>
      </c>
      <c r="C173" s="303" t="s">
        <v>75</v>
      </c>
      <c r="D173" s="304">
        <v>3.2000000000000002</v>
      </c>
      <c r="E173" s="305"/>
      <c r="F173" s="306"/>
      <c r="G173" s="306">
        <v>15</v>
      </c>
      <c r="H173" s="306" t="s">
        <v>76</v>
      </c>
      <c r="I173" s="306">
        <f t="shared" si="84"/>
        <v>593.3034899999999</v>
      </c>
      <c r="J173" s="307">
        <v>566.66999999999996</v>
      </c>
      <c r="K173" s="308">
        <f t="shared" si="85"/>
        <v>8899.5523499999981</v>
      </c>
      <c r="M173" s="309">
        <f t="shared" si="87"/>
        <v>0</v>
      </c>
      <c r="N173" s="309">
        <f t="shared" si="88"/>
        <v>8899.5523499999981</v>
      </c>
    </row>
    <row r="174" ht="14.25">
      <c r="A174" s="310"/>
      <c r="B174" s="302" t="s">
        <v>12</v>
      </c>
      <c r="C174" s="303" t="s">
        <v>75</v>
      </c>
      <c r="D174" s="304">
        <v>2.5</v>
      </c>
      <c r="E174" s="305"/>
      <c r="F174" s="306"/>
      <c r="G174" s="306">
        <v>15</v>
      </c>
      <c r="H174" s="306" t="s">
        <v>76</v>
      </c>
      <c r="I174" s="306">
        <f t="shared" si="84"/>
        <v>672.41480999999999</v>
      </c>
      <c r="J174" s="307">
        <v>642.23000000000002</v>
      </c>
      <c r="K174" s="308">
        <f t="shared" si="85"/>
        <v>10086.22215</v>
      </c>
      <c r="M174" s="309">
        <f t="shared" si="87"/>
        <v>0</v>
      </c>
      <c r="N174" s="309">
        <f t="shared" si="88"/>
        <v>10086.22215</v>
      </c>
    </row>
    <row r="175" ht="14.25">
      <c r="A175" s="310"/>
      <c r="B175" s="302" t="s">
        <v>12</v>
      </c>
      <c r="C175" s="304" t="s">
        <v>145</v>
      </c>
      <c r="D175" s="304">
        <v>125</v>
      </c>
      <c r="E175" s="305"/>
      <c r="F175" s="306"/>
      <c r="G175" s="306">
        <v>149</v>
      </c>
      <c r="H175" s="306" t="s">
        <v>39</v>
      </c>
      <c r="I175" s="306">
        <f t="shared" si="84"/>
        <v>93.182999999999993</v>
      </c>
      <c r="J175" s="307">
        <v>89</v>
      </c>
      <c r="K175" s="308">
        <f t="shared" si="85"/>
        <v>13884.267</v>
      </c>
      <c r="M175" s="309">
        <f t="shared" si="87"/>
        <v>0</v>
      </c>
      <c r="N175" s="309">
        <f t="shared" si="88"/>
        <v>13884.267</v>
      </c>
    </row>
    <row r="176" ht="14.25">
      <c r="A176" s="310"/>
      <c r="B176" s="302" t="s">
        <v>12</v>
      </c>
      <c r="C176" s="304" t="s">
        <v>147</v>
      </c>
      <c r="D176" s="304">
        <v>230</v>
      </c>
      <c r="E176" s="305"/>
      <c r="F176" s="306"/>
      <c r="G176" s="306">
        <v>37</v>
      </c>
      <c r="H176" s="306" t="s">
        <v>39</v>
      </c>
      <c r="I176" s="306">
        <f t="shared" si="84"/>
        <v>130.875</v>
      </c>
      <c r="J176" s="307">
        <v>125</v>
      </c>
      <c r="K176" s="308">
        <f t="shared" si="85"/>
        <v>4842.375</v>
      </c>
      <c r="M176" s="309">
        <f t="shared" si="87"/>
        <v>0</v>
      </c>
      <c r="N176" s="309">
        <f t="shared" si="88"/>
        <v>4842.375</v>
      </c>
    </row>
    <row r="177" ht="14.25">
      <c r="A177" s="310"/>
      <c r="B177" s="302" t="s">
        <v>12</v>
      </c>
      <c r="C177" s="303" t="s">
        <v>775</v>
      </c>
      <c r="D177" s="304" t="s">
        <v>776</v>
      </c>
      <c r="E177" s="305"/>
      <c r="F177" s="306"/>
      <c r="G177" s="306">
        <v>7</v>
      </c>
      <c r="H177" s="306" t="s">
        <v>39</v>
      </c>
      <c r="I177" s="306">
        <f t="shared" si="84"/>
        <v>120.40499999999999</v>
      </c>
      <c r="J177" s="307">
        <v>115</v>
      </c>
      <c r="K177" s="308">
        <f t="shared" si="85"/>
        <v>842.83499999999992</v>
      </c>
      <c r="M177" s="309">
        <f t="shared" si="87"/>
        <v>0</v>
      </c>
      <c r="N177" s="309">
        <f t="shared" si="88"/>
        <v>842.83499999999992</v>
      </c>
    </row>
    <row r="178" ht="14.25">
      <c r="A178" s="310"/>
      <c r="B178" s="302" t="s">
        <v>12</v>
      </c>
      <c r="C178" s="303" t="s">
        <v>151</v>
      </c>
      <c r="D178" s="304">
        <v>108</v>
      </c>
      <c r="E178" s="305" t="s">
        <v>766</v>
      </c>
      <c r="F178" s="306"/>
      <c r="G178" s="306">
        <v>2</v>
      </c>
      <c r="H178" s="306" t="s">
        <v>39</v>
      </c>
      <c r="I178" s="306">
        <f t="shared" si="84"/>
        <v>795.71999999999991</v>
      </c>
      <c r="J178" s="307">
        <v>760</v>
      </c>
      <c r="K178" s="308">
        <f t="shared" si="85"/>
        <v>1591.4399999999998</v>
      </c>
      <c r="L178" s="1">
        <f t="shared" si="86"/>
        <v>0.00016182788359144138</v>
      </c>
      <c r="M178" s="309">
        <f t="shared" si="87"/>
        <v>448.15238544803242</v>
      </c>
      <c r="N178" s="309">
        <f t="shared" si="88"/>
        <v>2039.5923854480322</v>
      </c>
    </row>
    <row r="179" ht="14.25">
      <c r="A179" s="310"/>
      <c r="B179" s="302" t="s">
        <v>12</v>
      </c>
      <c r="C179" s="303" t="s">
        <v>151</v>
      </c>
      <c r="D179" s="304">
        <v>89</v>
      </c>
      <c r="E179" s="305" t="s">
        <v>766</v>
      </c>
      <c r="F179" s="306"/>
      <c r="G179" s="306">
        <v>28</v>
      </c>
      <c r="H179" s="306" t="s">
        <v>39</v>
      </c>
      <c r="I179" s="306">
        <f t="shared" si="84"/>
        <v>704.97650999999996</v>
      </c>
      <c r="J179" s="307">
        <v>673.33000000000004</v>
      </c>
      <c r="K179" s="308">
        <f t="shared" si="85"/>
        <v>19739.342279999997</v>
      </c>
      <c r="L179" s="1">
        <f t="shared" si="86"/>
        <v>0.0020072236368694121</v>
      </c>
      <c r="M179" s="309">
        <f t="shared" si="87"/>
        <v>5558.6345259370155</v>
      </c>
      <c r="N179" s="309">
        <f t="shared" si="88"/>
        <v>25297.976805937011</v>
      </c>
    </row>
    <row r="180" ht="14.25">
      <c r="A180" s="320"/>
      <c r="B180" s="302" t="s">
        <v>12</v>
      </c>
      <c r="C180" s="303" t="s">
        <v>151</v>
      </c>
      <c r="D180" s="304">
        <v>57</v>
      </c>
      <c r="E180" s="305" t="s">
        <v>766</v>
      </c>
      <c r="F180" s="306"/>
      <c r="G180" s="306">
        <v>4</v>
      </c>
      <c r="H180" s="306" t="s">
        <v>39</v>
      </c>
      <c r="I180" s="306">
        <f t="shared" si="84"/>
        <v>554.90999999999997</v>
      </c>
      <c r="J180" s="307">
        <v>530</v>
      </c>
      <c r="K180" s="308">
        <f t="shared" si="85"/>
        <v>2219.6399999999999</v>
      </c>
      <c r="L180" s="1">
        <f t="shared" si="86"/>
        <v>0.00022570731132490508</v>
      </c>
      <c r="M180" s="309">
        <f t="shared" si="87"/>
        <v>625.05464286172946</v>
      </c>
      <c r="N180" s="309">
        <f t="shared" si="88"/>
        <v>2844.6946428617293</v>
      </c>
      <c r="O180" s="309">
        <f>SUM(M164:M180)</f>
        <v>93068.413250410027</v>
      </c>
    </row>
    <row r="181" ht="14.25">
      <c r="B181" s="1">
        <v>1</v>
      </c>
      <c r="C181" s="322" t="s">
        <v>799</v>
      </c>
      <c r="J181" s="1">
        <v>1</v>
      </c>
      <c r="K181" s="323">
        <f>SUM(K4:K180)</f>
        <v>12338636.757450001</v>
      </c>
      <c r="L181" s="323"/>
      <c r="M181" s="309"/>
      <c r="N181" s="323"/>
    </row>
    <row r="182" ht="14.25">
      <c r="B182" s="1">
        <v>1</v>
      </c>
      <c r="C182" s="322" t="s">
        <v>799</v>
      </c>
      <c r="J182" s="324" t="s">
        <v>800</v>
      </c>
      <c r="K182" s="323">
        <f>SUM(K4:K11,K21:K29,K40:K44,K52,K54:K75,K77:K86,K97:K107,K110:K124,K128:K137,K151:K160,K164:K169,K178:K180)</f>
        <v>9834151.9686300009</v>
      </c>
      <c r="L182" s="323">
        <f>SUM(L4:L180)</f>
        <v>1.0000000000000002</v>
      </c>
      <c r="M182" s="309">
        <f>SUM(M4:M180)</f>
        <v>2769314.9999999995</v>
      </c>
      <c r="N182" s="323">
        <f>SUM(N4:N180)</f>
        <v>15107951.757449999</v>
      </c>
    </row>
    <row r="183" ht="14.25">
      <c r="B183" s="1">
        <v>1</v>
      </c>
      <c r="C183" s="322" t="s">
        <v>799</v>
      </c>
      <c r="D183" s="325"/>
      <c r="J183" s="1" t="s">
        <v>157</v>
      </c>
      <c r="K183" s="323">
        <v>2645000</v>
      </c>
      <c r="L183" s="323"/>
      <c r="M183" s="309"/>
      <c r="N183" s="323"/>
    </row>
    <row r="184" ht="14.25">
      <c r="B184" s="1">
        <v>1</v>
      </c>
      <c r="C184" s="322" t="s">
        <v>799</v>
      </c>
      <c r="D184" s="325"/>
      <c r="J184" s="1">
        <v>1</v>
      </c>
      <c r="K184" s="323"/>
      <c r="L184" s="323"/>
      <c r="M184" s="309"/>
      <c r="N184" s="323"/>
    </row>
    <row r="185" ht="14.25">
      <c r="B185" s="1">
        <v>1</v>
      </c>
      <c r="C185" s="322" t="s">
        <v>799</v>
      </c>
      <c r="D185" s="325"/>
      <c r="J185" s="1">
        <v>1</v>
      </c>
      <c r="K185" s="323"/>
      <c r="L185" s="323"/>
      <c r="M185" s="309"/>
      <c r="N185" s="323"/>
    </row>
    <row r="186" ht="15">
      <c r="B186" s="326" t="s">
        <v>801</v>
      </c>
      <c r="C186" s="327" t="s">
        <v>33</v>
      </c>
      <c r="D186" s="328">
        <v>325</v>
      </c>
      <c r="E186" s="329" t="s">
        <v>766</v>
      </c>
      <c r="F186" s="330"/>
      <c r="G186" s="330">
        <f>SUMIF('Объемы работ 2026'!$C$2:$C$152,'НЕ ТРАГАТЬ ДЛЯ ЗАПОЛНЕНИЯ!!!!!'!B186,'Объемы работ 2026'!$G$2:$G$152)</f>
        <v>0</v>
      </c>
      <c r="H186" s="330" t="str">
        <f>H54</f>
        <v>м.п.</v>
      </c>
      <c r="I186" s="306">
        <f t="shared" si="84"/>
        <v>8942.4269999999997</v>
      </c>
      <c r="J186" s="331">
        <v>8541</v>
      </c>
      <c r="K186" s="308">
        <f t="shared" ref="K186:K249" si="89">G186*I186</f>
        <v>0</v>
      </c>
      <c r="L186" s="21">
        <f>L54</f>
        <v>0.036070566492315111</v>
      </c>
      <c r="M186" s="22">
        <f>M54</f>
        <v>99890.760845665616</v>
      </c>
      <c r="N186" s="22">
        <f>N54</f>
        <v>454614.19332566555</v>
      </c>
      <c r="P186" s="332" t="s">
        <v>802</v>
      </c>
    </row>
    <row r="187" ht="15">
      <c r="B187" s="326" t="s">
        <v>803</v>
      </c>
      <c r="C187" s="327" t="s">
        <v>33</v>
      </c>
      <c r="D187" s="328">
        <v>219</v>
      </c>
      <c r="E187" s="329" t="s">
        <v>778</v>
      </c>
      <c r="F187" s="330"/>
      <c r="G187" s="330">
        <f>SUMIF('Объемы работ 2026'!$C$2:$C$152,'НЕ ТРАГАТЬ ДЛЯ ЗАПОЛНЕНИЯ!!!!!'!B187,'Объемы работ 2026'!$G$2:$G$152)</f>
        <v>0</v>
      </c>
      <c r="H187" s="330" t="str">
        <f t="shared" ref="H187:H197" si="90">H110</f>
        <v>м.п.</v>
      </c>
      <c r="I187" s="306">
        <f t="shared" si="84"/>
        <v>5110.4069999999992</v>
      </c>
      <c r="J187" s="331">
        <v>4881</v>
      </c>
      <c r="K187" s="308">
        <f t="shared" si="89"/>
        <v>0</v>
      </c>
      <c r="L187" s="21">
        <f>L110</f>
        <v>0.048792840164625415</v>
      </c>
      <c r="M187" s="22">
        <f>M110</f>
        <v>135122.74416049963</v>
      </c>
      <c r="N187" s="22">
        <f>N110</f>
        <v>614958.94932049967</v>
      </c>
      <c r="P187" s="332" t="s">
        <v>804</v>
      </c>
    </row>
    <row r="188" ht="15">
      <c r="B188" s="326" t="s">
        <v>805</v>
      </c>
      <c r="C188" s="327" t="s">
        <v>33</v>
      </c>
      <c r="D188" s="328">
        <v>219</v>
      </c>
      <c r="E188" s="329" t="s">
        <v>766</v>
      </c>
      <c r="F188" s="330"/>
      <c r="G188" s="330">
        <f>SUMIF('Объемы работ 2026'!$C$2:$C$152,'НЕ ТРАГАТЬ ДЛЯ ЗАПОЛНЕНИЯ!!!!!'!B188,'Объемы работ 2026'!$G$2:$G$152)</f>
        <v>0</v>
      </c>
      <c r="H188" s="330" t="str">
        <f t="shared" si="90"/>
        <v>м.п.</v>
      </c>
      <c r="I188" s="306">
        <f t="shared" si="84"/>
        <v>5466.3869999999997</v>
      </c>
      <c r="J188" s="331">
        <v>5221</v>
      </c>
      <c r="K188" s="308">
        <f t="shared" si="89"/>
        <v>0</v>
      </c>
      <c r="L188" s="21">
        <f>L55+L111</f>
        <v>0.2023311457812659</v>
      </c>
      <c r="M188" s="22">
        <f>M55+M111</f>
        <v>560318.67697924632</v>
      </c>
      <c r="N188" s="22">
        <f>N55+N111</f>
        <v>2550073.9125792459</v>
      </c>
      <c r="P188" s="332" t="s">
        <v>806</v>
      </c>
    </row>
    <row r="189" ht="15">
      <c r="B189" s="326" t="s">
        <v>807</v>
      </c>
      <c r="C189" s="327" t="s">
        <v>33</v>
      </c>
      <c r="D189" s="328">
        <v>159</v>
      </c>
      <c r="E189" s="329" t="s">
        <v>766</v>
      </c>
      <c r="F189" s="330"/>
      <c r="G189" s="330">
        <f>SUMIF('Объемы работ 2026'!$C$2:$C$152,'НЕ ТРАГАТЬ ДЛЯ ЗАПОЛНЕНИЯ!!!!!'!B189,'Объемы работ 2026'!$G$2:$G$152)</f>
        <v>0</v>
      </c>
      <c r="H189" s="330" t="str">
        <f t="shared" si="90"/>
        <v>м.п.</v>
      </c>
      <c r="I189" s="306">
        <f t="shared" si="84"/>
        <v>3963.9419999999996</v>
      </c>
      <c r="J189" s="331">
        <v>3786</v>
      </c>
      <c r="K189" s="308">
        <f t="shared" si="89"/>
        <v>0</v>
      </c>
      <c r="L189" s="21">
        <f>L56</f>
        <v>0.075836672861981008</v>
      </c>
      <c r="M189" s="22">
        <f>M56</f>
        <v>210015.63570677693</v>
      </c>
      <c r="N189" s="22">
        <f>N56</f>
        <v>955805.00142677687</v>
      </c>
      <c r="P189" s="332" t="s">
        <v>808</v>
      </c>
    </row>
    <row r="190" ht="15">
      <c r="B190" s="326" t="s">
        <v>809</v>
      </c>
      <c r="C190" s="327" t="s">
        <v>33</v>
      </c>
      <c r="D190" s="328">
        <v>133</v>
      </c>
      <c r="E190" s="329" t="s">
        <v>766</v>
      </c>
      <c r="F190" s="330"/>
      <c r="G190" s="330">
        <f>SUMIF('Объемы работ 2026'!$C$2:$C$152,'НЕ ТРАГАТЬ ДЛЯ ЗАПОЛНЕНИЯ!!!!!'!B190,'Объемы работ 2026'!$G$2:$G$152)</f>
        <v>0</v>
      </c>
      <c r="H190" s="330" t="str">
        <f t="shared" si="90"/>
        <v>м.п.</v>
      </c>
      <c r="I190" s="306">
        <f t="shared" si="84"/>
        <v>3313.7549999999997</v>
      </c>
      <c r="J190" s="331">
        <v>3165</v>
      </c>
      <c r="K190" s="308">
        <f t="shared" si="89"/>
        <v>0</v>
      </c>
      <c r="L190" s="21">
        <f>L57+L112</f>
        <v>0.061629274891552441</v>
      </c>
      <c r="M190" s="22">
        <f>M57+M112</f>
        <v>170670.87539629953</v>
      </c>
      <c r="N190" s="22">
        <f>N57+N112</f>
        <v>776742.53039629944</v>
      </c>
      <c r="P190" s="332" t="s">
        <v>810</v>
      </c>
    </row>
    <row r="191" ht="15">
      <c r="B191" s="326" t="s">
        <v>811</v>
      </c>
      <c r="C191" s="327" t="s">
        <v>33</v>
      </c>
      <c r="D191" s="328">
        <v>108</v>
      </c>
      <c r="E191" s="329" t="s">
        <v>766</v>
      </c>
      <c r="F191" s="330"/>
      <c r="G191" s="330">
        <f>SUMIF('Объемы работ 2026'!$C$2:$C$152,'НЕ ТРАГАТЬ ДЛЯ ЗАПОЛНЕНИЯ!!!!!'!B191,'Объемы работ 2026'!$G$2:$G$152)</f>
        <v>0</v>
      </c>
      <c r="H191" s="330" t="str">
        <f t="shared" si="90"/>
        <v>м.п.</v>
      </c>
      <c r="I191" s="306">
        <f t="shared" si="84"/>
        <v>3591.2099999999996</v>
      </c>
      <c r="J191" s="331">
        <v>3430</v>
      </c>
      <c r="K191" s="308">
        <f t="shared" si="89"/>
        <v>0</v>
      </c>
      <c r="L191" s="21">
        <f>L4+L58+L113</f>
        <v>0.10413470146756988</v>
      </c>
      <c r="M191" s="22">
        <f>M4+M58+M113</f>
        <v>288381.79079466331</v>
      </c>
      <c r="N191" s="22">
        <f>N4+N58+N113</f>
        <v>1312458.2702346633</v>
      </c>
      <c r="P191" s="332" t="s">
        <v>812</v>
      </c>
    </row>
    <row r="192" ht="15">
      <c r="B192" s="326" t="s">
        <v>813</v>
      </c>
      <c r="C192" s="333" t="s">
        <v>33</v>
      </c>
      <c r="D192" s="334">
        <v>89</v>
      </c>
      <c r="E192" s="335" t="s">
        <v>766</v>
      </c>
      <c r="F192" s="336"/>
      <c r="G192" s="330">
        <f>SUMIF('Объемы работ 2026'!$C$2:$C$152,'НЕ ТРАГАТЬ ДЛЯ ЗАПОЛНЕНИЯ!!!!!'!B192,'Объемы работ 2026'!$G$2:$G$152)</f>
        <v>0</v>
      </c>
      <c r="H192" s="330" t="str">
        <f t="shared" si="90"/>
        <v>м.п.</v>
      </c>
      <c r="I192" s="306">
        <f t="shared" si="84"/>
        <v>2776.6439999999998</v>
      </c>
      <c r="J192" s="331">
        <v>2652</v>
      </c>
      <c r="K192" s="308">
        <f t="shared" si="89"/>
        <v>0</v>
      </c>
      <c r="L192" s="337">
        <f>L5+L42+L59+L114+L164</f>
        <v>0.06251256129059414</v>
      </c>
      <c r="M192" s="338">
        <f>M5+M42+M59+M114+M164</f>
        <v>173116.97367046171</v>
      </c>
      <c r="N192" s="338">
        <f>N5+N42+N59+N114+N164</f>
        <v>787875.00135046174</v>
      </c>
      <c r="P192" s="332" t="s">
        <v>814</v>
      </c>
    </row>
    <row r="193" ht="15.65">
      <c r="B193" s="326" t="s">
        <v>815</v>
      </c>
      <c r="C193" s="327" t="s">
        <v>33</v>
      </c>
      <c r="D193" s="328">
        <v>76</v>
      </c>
      <c r="E193" s="329" t="s">
        <v>778</v>
      </c>
      <c r="F193" s="330"/>
      <c r="G193" s="330">
        <f>SUMIF('Объемы работ 2026'!$C$2:$C$152,'НЕ ТРАГАТЬ ДЛЯ ЗАПОЛНЕНИЯ!!!!!'!B193,'Объемы работ 2026'!$G$2:$G$152)</f>
        <v>0</v>
      </c>
      <c r="H193" s="330" t="str">
        <f t="shared" si="90"/>
        <v>м.п.</v>
      </c>
      <c r="I193" s="306">
        <f t="shared" si="84"/>
        <v>1927.5269999999998</v>
      </c>
      <c r="J193" s="331">
        <v>1841</v>
      </c>
      <c r="K193" s="308">
        <f t="shared" si="89"/>
        <v>0</v>
      </c>
      <c r="L193" s="21">
        <f t="shared" ref="L193:N194" si="91">L60</f>
        <v>0.013198524616462884</v>
      </c>
      <c r="M193" s="22">
        <f t="shared" si="91"/>
        <v>36550.872198239907</v>
      </c>
      <c r="N193" s="22">
        <f t="shared" si="91"/>
        <v>166347.1690382399</v>
      </c>
      <c r="P193" s="332" t="s">
        <v>816</v>
      </c>
    </row>
    <row r="194" ht="15.65">
      <c r="B194" s="326" t="s">
        <v>817</v>
      </c>
      <c r="C194" s="327" t="s">
        <v>33</v>
      </c>
      <c r="D194" s="328">
        <v>76</v>
      </c>
      <c r="E194" s="329" t="s">
        <v>766</v>
      </c>
      <c r="F194" s="330"/>
      <c r="G194" s="330">
        <f>SUMIF('Объемы работ 2026'!$C$2:$C$152,'НЕ ТРАГАТЬ ДЛЯ ЗАПОЛНЕНИЯ!!!!!'!B194,'Объемы работ 2026'!$G$2:$G$152)</f>
        <v>0</v>
      </c>
      <c r="H194" s="330" t="str">
        <f t="shared" si="90"/>
        <v>шт.</v>
      </c>
      <c r="I194" s="306">
        <f t="shared" si="84"/>
        <v>2359.9379999999996</v>
      </c>
      <c r="J194" s="331">
        <v>2254</v>
      </c>
      <c r="K194" s="308">
        <f t="shared" si="89"/>
        <v>0</v>
      </c>
      <c r="L194" s="21">
        <f t="shared" si="91"/>
        <v>0.017114216424240034</v>
      </c>
      <c r="M194" s="22">
        <f t="shared" si="91"/>
        <v>47394.65625689429</v>
      </c>
      <c r="N194" s="22">
        <f t="shared" si="91"/>
        <v>215698.4613968943</v>
      </c>
      <c r="P194" s="332" t="s">
        <v>818</v>
      </c>
    </row>
    <row r="195" ht="15.65">
      <c r="B195" s="326" t="s">
        <v>819</v>
      </c>
      <c r="C195" s="327" t="s">
        <v>33</v>
      </c>
      <c r="D195" s="328">
        <v>57</v>
      </c>
      <c r="E195" s="329" t="s">
        <v>778</v>
      </c>
      <c r="F195" s="330"/>
      <c r="G195" s="330">
        <f>SUMIF('Объемы работ 2026'!$C$2:$C$152,'НЕ ТРАГАТЬ ДЛЯ ЗАПОЛНЕНИЯ!!!!!'!B195,'Объемы работ 2026'!$G$2:$G$152)</f>
        <v>0</v>
      </c>
      <c r="H195" s="330" t="str">
        <f t="shared" si="90"/>
        <v>шт.</v>
      </c>
      <c r="I195" s="306">
        <f t="shared" si="84"/>
        <v>1563.1709999999998</v>
      </c>
      <c r="J195" s="331">
        <v>1493</v>
      </c>
      <c r="K195" s="308">
        <f t="shared" si="89"/>
        <v>0</v>
      </c>
      <c r="L195" s="21">
        <f>L25</f>
        <v>0.0012722652690248188</v>
      </c>
      <c r="M195" s="22">
        <f>M25</f>
        <v>3523.3032934894654</v>
      </c>
      <c r="N195" s="22">
        <f>N25</f>
        <v>16034.953293489465</v>
      </c>
      <c r="P195" s="332" t="s">
        <v>820</v>
      </c>
    </row>
    <row r="196" ht="15.65">
      <c r="B196" s="326" t="s">
        <v>821</v>
      </c>
      <c r="C196" s="327" t="s">
        <v>33</v>
      </c>
      <c r="D196" s="328">
        <v>57</v>
      </c>
      <c r="E196" s="329" t="s">
        <v>766</v>
      </c>
      <c r="F196" s="330"/>
      <c r="G196" s="330">
        <f>SUMIF('Объемы работ 2026'!$C$2:$C$152,'НЕ ТРАГАТЬ ДЛЯ ЗАПОЛНЕНИЯ!!!!!'!B196,'Объемы работ 2026'!$G$2:$G$152)</f>
        <v>0</v>
      </c>
      <c r="H196" s="330" t="str">
        <f t="shared" si="90"/>
        <v>шт.</v>
      </c>
      <c r="I196" s="306">
        <f t="shared" ref="I196:I259" si="92">J196*$J$2</f>
        <v>2009.1929999999998</v>
      </c>
      <c r="J196" s="331">
        <v>1919</v>
      </c>
      <c r="K196" s="308">
        <f t="shared" si="89"/>
        <v>0</v>
      </c>
      <c r="L196" s="21">
        <f>L26+L62+L115</f>
        <v>0.023336170633935251</v>
      </c>
      <c r="M196" s="22">
        <f>M26+M62+M115</f>
        <v>64625.2073791164</v>
      </c>
      <c r="N196" s="22">
        <f>N26+N62+N115</f>
        <v>294116.65575911634</v>
      </c>
      <c r="P196" s="332" t="s">
        <v>822</v>
      </c>
    </row>
    <row r="197" ht="16.300000000000001">
      <c r="B197" s="326" t="s">
        <v>823</v>
      </c>
      <c r="C197" s="333" t="s">
        <v>33</v>
      </c>
      <c r="D197" s="334">
        <v>45</v>
      </c>
      <c r="E197" s="335" t="s">
        <v>766</v>
      </c>
      <c r="F197" s="336"/>
      <c r="G197" s="330">
        <f>SUMIF('Объемы работ 2026'!$C$2:$C$152,'НЕ ТРАГАТЬ ДЛЯ ЗАПОЛНЕНИЯ!!!!!'!B197,'Объемы работ 2026'!$G$2:$G$152)</f>
        <v>0</v>
      </c>
      <c r="H197" s="330" t="str">
        <f t="shared" si="90"/>
        <v>шт.</v>
      </c>
      <c r="I197" s="306">
        <f t="shared" si="92"/>
        <v>1803.9809999999998</v>
      </c>
      <c r="J197" s="331">
        <v>1723</v>
      </c>
      <c r="K197" s="308">
        <f t="shared" si="89"/>
        <v>0</v>
      </c>
      <c r="L197" s="337">
        <f>L116</f>
        <v>0.00060720802963469696</v>
      </c>
      <c r="M197" s="338">
        <f>M116</f>
        <v>1681.5503045878106</v>
      </c>
      <c r="N197" s="338">
        <f>N116</f>
        <v>7652.9263445878096</v>
      </c>
      <c r="P197" s="339" t="s">
        <v>824</v>
      </c>
    </row>
    <row r="198" ht="15.65">
      <c r="B198" s="326" t="s">
        <v>825</v>
      </c>
      <c r="C198" s="327" t="s">
        <v>767</v>
      </c>
      <c r="D198" s="328">
        <v>325</v>
      </c>
      <c r="E198" s="329" t="s">
        <v>778</v>
      </c>
      <c r="F198" s="330"/>
      <c r="G198" s="330">
        <f>SUMIF('Объемы работ 2026'!$C$2:$C$152,'НЕ ТРАГАТЬ ДЛЯ ЗАПОЛНЕНИЯ!!!!!'!B198,'Объемы работ 2026'!$G$2:$G$152)</f>
        <v>0</v>
      </c>
      <c r="H198" s="330" t="str">
        <f t="shared" ref="H198:H199" si="93">H63</f>
        <v>шт.</v>
      </c>
      <c r="I198" s="306">
        <f t="shared" si="92"/>
        <v>52453.652999999998</v>
      </c>
      <c r="J198" s="331">
        <v>50099</v>
      </c>
      <c r="K198" s="308">
        <f t="shared" si="89"/>
        <v>0</v>
      </c>
      <c r="L198" s="21">
        <f t="shared" ref="L198:N199" si="94">L63</f>
        <v>0.035374297764534414</v>
      </c>
      <c r="M198" s="22">
        <f t="shared" si="94"/>
        <v>97962.573413791615</v>
      </c>
      <c r="N198" s="22">
        <f t="shared" si="94"/>
        <v>445838.79341379157</v>
      </c>
      <c r="P198" s="332" t="s">
        <v>826</v>
      </c>
    </row>
    <row r="199" ht="15.65">
      <c r="B199" s="326" t="s">
        <v>827</v>
      </c>
      <c r="C199" s="327" t="s">
        <v>767</v>
      </c>
      <c r="D199" s="328">
        <v>325</v>
      </c>
      <c r="E199" s="329" t="s">
        <v>766</v>
      </c>
      <c r="F199" s="330"/>
      <c r="G199" s="330">
        <f>SUMIF('Объемы работ 2026'!$C$2:$C$152,'НЕ ТРАГАТЬ ДЛЯ ЗАПОЛНЕНИЯ!!!!!'!B199,'Объемы работ 2026'!$G$2:$G$152)</f>
        <v>0</v>
      </c>
      <c r="H199" s="330" t="str">
        <f t="shared" si="93"/>
        <v>шт.</v>
      </c>
      <c r="I199" s="306">
        <f t="shared" si="92"/>
        <v>51232.850999999995</v>
      </c>
      <c r="J199" s="331">
        <v>48933</v>
      </c>
      <c r="K199" s="308">
        <f t="shared" si="89"/>
        <v>0</v>
      </c>
      <c r="L199" s="21">
        <f t="shared" si="94"/>
        <v>0.034579356614048103</v>
      </c>
      <c r="M199" s="22">
        <f t="shared" si="94"/>
        <v>95761.130961632618</v>
      </c>
      <c r="N199" s="22">
        <f t="shared" si="94"/>
        <v>435819.77888163261</v>
      </c>
      <c r="P199" s="332" t="s">
        <v>828</v>
      </c>
    </row>
    <row r="200" ht="15.65">
      <c r="B200" s="326" t="s">
        <v>829</v>
      </c>
      <c r="C200" s="327" t="s">
        <v>767</v>
      </c>
      <c r="D200" s="328">
        <v>219</v>
      </c>
      <c r="E200" s="329" t="s">
        <v>778</v>
      </c>
      <c r="F200" s="330"/>
      <c r="G200" s="330">
        <f>SUMIF('Объемы работ 2026'!$C$2:$C$152,'НЕ ТРАГАТЬ ДЛЯ ЗАПОЛНЕНИЯ!!!!!'!B200,'Объемы работ 2026'!$G$2:$G$152)</f>
        <v>0</v>
      </c>
      <c r="H200" s="330" t="str">
        <f t="shared" ref="H200:H212" si="95">H117</f>
        <v>шт.</v>
      </c>
      <c r="I200" s="306">
        <f t="shared" si="92"/>
        <v>25621.136999999999</v>
      </c>
      <c r="J200" s="331">
        <v>24471</v>
      </c>
      <c r="K200" s="308">
        <f t="shared" si="89"/>
        <v>0</v>
      </c>
      <c r="L200" s="21">
        <f>L117</f>
        <v>0.025849870830846465</v>
      </c>
      <c r="M200" s="22">
        <f>M117</f>
        <v>71586.435039925578</v>
      </c>
      <c r="N200" s="22">
        <f>N117</f>
        <v>325797.99315992557</v>
      </c>
      <c r="P200" s="332" t="s">
        <v>830</v>
      </c>
    </row>
    <row r="201" ht="15.65">
      <c r="B201" s="326" t="s">
        <v>831</v>
      </c>
      <c r="C201" s="327" t="s">
        <v>767</v>
      </c>
      <c r="D201" s="328">
        <v>219</v>
      </c>
      <c r="E201" s="329" t="s">
        <v>766</v>
      </c>
      <c r="F201" s="330"/>
      <c r="G201" s="330">
        <f>SUMIF('Объемы работ 2026'!$C$2:$C$152,'НЕ ТРАГАТЬ ДЛЯ ЗАПОЛНЕНИЯ!!!!!'!B201,'Объемы работ 2026'!$G$2:$G$152)</f>
        <v>0</v>
      </c>
      <c r="H201" s="330" t="str">
        <f t="shared" si="95"/>
        <v>шт.</v>
      </c>
      <c r="I201" s="306">
        <f t="shared" si="92"/>
        <v>25159.41</v>
      </c>
      <c r="J201" s="331">
        <v>24030</v>
      </c>
      <c r="K201" s="308">
        <f t="shared" si="89"/>
        <v>0</v>
      </c>
      <c r="L201" s="21">
        <f>L118+L66</f>
        <v>0.046649734338395629</v>
      </c>
      <c r="M201" s="22">
        <f>M118+M66</f>
        <v>129187.80904933407</v>
      </c>
      <c r="N201" s="22">
        <f>N118+N66</f>
        <v>587948.38582933391</v>
      </c>
      <c r="P201" s="332" t="s">
        <v>832</v>
      </c>
    </row>
    <row r="202" ht="15.65">
      <c r="B202" s="326" t="s">
        <v>833</v>
      </c>
      <c r="C202" s="327" t="s">
        <v>767</v>
      </c>
      <c r="D202" s="328">
        <v>219</v>
      </c>
      <c r="E202" s="329" t="s">
        <v>766</v>
      </c>
      <c r="F202" s="330" t="s">
        <v>834</v>
      </c>
      <c r="G202" s="330">
        <f>SUMIF('Объемы работ 2026'!$C$2:$C$152,'НЕ ТРАГАТЬ ДЛЯ ЗАПОЛНЕНИЯ!!!!!'!B202,'Объемы работ 2026'!$G$2:$G$152)</f>
        <v>0</v>
      </c>
      <c r="H202" s="330" t="str">
        <f t="shared" si="95"/>
        <v>шт.</v>
      </c>
      <c r="I202" s="306">
        <f t="shared" si="92"/>
        <v>28109.856</v>
      </c>
      <c r="J202" s="331">
        <v>26848</v>
      </c>
      <c r="K202" s="308">
        <f t="shared" si="89"/>
        <v>0</v>
      </c>
      <c r="L202" s="21">
        <f>L119+L65</f>
        <v>0.016896110764815404</v>
      </c>
      <c r="M202" s="22">
        <f>M119+M65</f>
        <v>46790.652982664775</v>
      </c>
      <c r="N202" s="22">
        <f>N119+N65</f>
        <v>212949.57392266474</v>
      </c>
      <c r="P202" s="332" t="s">
        <v>835</v>
      </c>
    </row>
    <row r="203" ht="15.65">
      <c r="B203" s="326" t="s">
        <v>836</v>
      </c>
      <c r="C203" s="327" t="s">
        <v>767</v>
      </c>
      <c r="D203" s="328">
        <v>159</v>
      </c>
      <c r="E203" s="329" t="s">
        <v>766</v>
      </c>
      <c r="F203" s="330"/>
      <c r="G203" s="330">
        <f>SUMIF('Объемы работ 2026'!$C$2:$C$152,'НЕ ТРАГАТЬ ДЛЯ ЗАПОЛНЕНИЯ!!!!!'!B203,'Объемы работ 2026'!$G$2:$G$152)</f>
        <v>0</v>
      </c>
      <c r="H203" s="330" t="str">
        <f t="shared" si="95"/>
        <v>шт.</v>
      </c>
      <c r="I203" s="306">
        <f t="shared" si="92"/>
        <v>17245.136999999999</v>
      </c>
      <c r="J203" s="331">
        <v>16471</v>
      </c>
      <c r="K203" s="308">
        <f t="shared" si="89"/>
        <v>0</v>
      </c>
      <c r="L203" s="21">
        <f>L67</f>
        <v>0.0046284180054562375</v>
      </c>
      <c r="M203" s="22">
        <f>M67</f>
        <v>12817.547408780039</v>
      </c>
      <c r="N203" s="22">
        <f>N67</f>
        <v>58334.113448780037</v>
      </c>
      <c r="P203" s="332" t="s">
        <v>837</v>
      </c>
    </row>
    <row r="204" ht="15.65">
      <c r="B204" s="326" t="s">
        <v>838</v>
      </c>
      <c r="C204" s="327" t="s">
        <v>767</v>
      </c>
      <c r="D204" s="328">
        <v>159</v>
      </c>
      <c r="E204" s="329" t="s">
        <v>766</v>
      </c>
      <c r="F204" s="330" t="s">
        <v>834</v>
      </c>
      <c r="G204" s="330">
        <f>SUMIF('Объемы работ 2026'!$C$2:$C$152,'НЕ ТРАГАТЬ ДЛЯ ЗАПОЛНЕНИЯ!!!!!'!B204,'Объемы работ 2026'!$G$2:$G$152)</f>
        <v>0</v>
      </c>
      <c r="H204" s="330" t="str">
        <f t="shared" si="95"/>
        <v>шт.</v>
      </c>
      <c r="I204" s="306">
        <f t="shared" si="92"/>
        <v>18611.471999999998</v>
      </c>
      <c r="J204" s="331">
        <v>17776</v>
      </c>
      <c r="K204" s="308">
        <f t="shared" si="89"/>
        <v>0</v>
      </c>
      <c r="L204" s="21">
        <f>L121</f>
        <v>0.0031318656777164539</v>
      </c>
      <c r="M204" s="22">
        <f>M121</f>
        <v>8673.1225992853397</v>
      </c>
      <c r="N204" s="22">
        <f>N121</f>
        <v>39472.365619285338</v>
      </c>
      <c r="P204" s="332" t="s">
        <v>839</v>
      </c>
    </row>
    <row r="205" ht="15.65">
      <c r="B205" s="326" t="s">
        <v>840</v>
      </c>
      <c r="C205" s="327" t="s">
        <v>767</v>
      </c>
      <c r="D205" s="328">
        <v>133</v>
      </c>
      <c r="E205" s="329" t="s">
        <v>766</v>
      </c>
      <c r="F205" s="330"/>
      <c r="G205" s="330">
        <f>SUMIF('Объемы работ 2026'!$C$2:$C$152,'НЕ ТРАГАТЬ ДЛЯ ЗАПОЛНЕНИЯ!!!!!'!B205,'Объемы работ 2026'!$G$2:$G$152)</f>
        <v>0</v>
      </c>
      <c r="H205" s="330" t="str">
        <f t="shared" si="95"/>
        <v>шт.</v>
      </c>
      <c r="I205" s="306">
        <f t="shared" si="92"/>
        <v>13837.151999999998</v>
      </c>
      <c r="J205" s="331">
        <v>13216</v>
      </c>
      <c r="K205" s="308">
        <f t="shared" si="89"/>
        <v>0</v>
      </c>
      <c r="L205" s="21">
        <f>L68</f>
        <v>0.002554289185293053</v>
      </c>
      <c r="M205" s="22">
        <f>M68</f>
        <v>7073.6313551698313</v>
      </c>
      <c r="N205" s="22">
        <f>N68</f>
        <v>32192.899375169829</v>
      </c>
      <c r="P205" s="332" t="s">
        <v>841</v>
      </c>
    </row>
    <row r="206" ht="15.65">
      <c r="B206" s="326" t="s">
        <v>842</v>
      </c>
      <c r="C206" s="333" t="s">
        <v>767</v>
      </c>
      <c r="D206" s="334">
        <v>108</v>
      </c>
      <c r="E206" s="335" t="s">
        <v>778</v>
      </c>
      <c r="F206" s="336" t="s">
        <v>834</v>
      </c>
      <c r="G206" s="330">
        <f>SUMIF('Объемы работ 2026'!$C$2:$C$152,'НЕ ТРАГАТЬ ДЛЯ ЗАПОЛНЕНИЯ!!!!!'!B206,'Объемы работ 2026'!$G$2:$G$152)</f>
        <v>0</v>
      </c>
      <c r="H206" s="336" t="str">
        <f t="shared" si="95"/>
        <v>шт.</v>
      </c>
      <c r="I206" s="306">
        <f t="shared" si="92"/>
        <v>16112.282999999999</v>
      </c>
      <c r="J206" s="331">
        <v>15389</v>
      </c>
      <c r="K206" s="308">
        <f t="shared" si="89"/>
        <v>0</v>
      </c>
      <c r="L206" s="337">
        <f t="shared" ref="L206:N207" si="96">L70</f>
        <v>0.0020029756549251368</v>
      </c>
      <c r="M206" s="338">
        <f t="shared" si="96"/>
        <v>5546.8705258190057</v>
      </c>
      <c r="N206" s="338">
        <f t="shared" si="96"/>
        <v>25244.437505819005</v>
      </c>
      <c r="P206" s="332" t="s">
        <v>843</v>
      </c>
    </row>
    <row r="207" ht="15.65">
      <c r="B207" s="326" t="s">
        <v>844</v>
      </c>
      <c r="C207" s="327" t="s">
        <v>767</v>
      </c>
      <c r="D207" s="328">
        <v>108</v>
      </c>
      <c r="E207" s="329" t="s">
        <v>778</v>
      </c>
      <c r="F207" s="330"/>
      <c r="G207" s="330">
        <f>SUMIF('Объемы работ 2026'!$C$2:$C$152,'НЕ ТРАГАТЬ ДЛЯ ЗАПОЛНЕНИЯ!!!!!'!B207,'Объемы работ 2026'!$G$2:$G$152)</f>
        <v>0</v>
      </c>
      <c r="H207" s="330" t="str">
        <f t="shared" si="95"/>
        <v>шт.</v>
      </c>
      <c r="I207" s="306">
        <f t="shared" si="92"/>
        <v>13746.062999999998</v>
      </c>
      <c r="J207" s="331">
        <v>13129</v>
      </c>
      <c r="K207" s="308">
        <f t="shared" si="89"/>
        <v>0</v>
      </c>
      <c r="L207" s="21">
        <f t="shared" si="96"/>
        <v>0.00095730349195646044</v>
      </c>
      <c r="M207" s="22">
        <f t="shared" si="96"/>
        <v>2651.0749198274052</v>
      </c>
      <c r="N207" s="22">
        <f t="shared" si="96"/>
        <v>12065.342939827406</v>
      </c>
      <c r="P207" s="332" t="s">
        <v>845</v>
      </c>
    </row>
    <row r="208" ht="15.65">
      <c r="B208" s="326" t="s">
        <v>846</v>
      </c>
      <c r="C208" s="333" t="s">
        <v>767</v>
      </c>
      <c r="D208" s="334">
        <v>108</v>
      </c>
      <c r="E208" s="335" t="s">
        <v>766</v>
      </c>
      <c r="F208" s="336" t="s">
        <v>834</v>
      </c>
      <c r="G208" s="330">
        <f>SUMIF('Объемы работ 2026'!$C$2:$C$152,'НЕ ТРАГАТЬ ДЛЯ ЗАПОЛНЕНИЯ!!!!!'!B208,'Объемы работ 2026'!$G$2:$G$152)</f>
        <v>0</v>
      </c>
      <c r="H208" s="336" t="str">
        <f t="shared" si="95"/>
        <v>шт.</v>
      </c>
      <c r="I208" s="306">
        <f t="shared" si="92"/>
        <v>13918.817999999999</v>
      </c>
      <c r="J208" s="331">
        <v>13294</v>
      </c>
      <c r="K208" s="308">
        <f t="shared" si="89"/>
        <v>0</v>
      </c>
      <c r="L208" s="337">
        <f>L72+L122</f>
        <v>0.003943843471579285</v>
      </c>
      <c r="M208" s="338">
        <f>M72+M122</f>
        <v>10921.744883496587</v>
      </c>
      <c r="N208" s="338">
        <f>N72+N122</f>
        <v>49706.10092349659</v>
      </c>
      <c r="P208" s="332" t="s">
        <v>847</v>
      </c>
    </row>
    <row r="209" ht="15.65">
      <c r="B209" s="326" t="s">
        <v>848</v>
      </c>
      <c r="C209" s="327" t="s">
        <v>767</v>
      </c>
      <c r="D209" s="328">
        <v>108</v>
      </c>
      <c r="E209" s="329" t="s">
        <v>766</v>
      </c>
      <c r="F209" s="330"/>
      <c r="G209" s="330">
        <f>SUMIF('Объемы работ 2026'!$C$2:$C$152,'НЕ ТРАГАТЬ ДЛЯ ЗАПОЛНЕНИЯ!!!!!'!B209,'Объемы работ 2026'!$G$2:$G$152)</f>
        <v>0</v>
      </c>
      <c r="H209" s="330" t="str">
        <f t="shared" si="95"/>
        <v>шт.</v>
      </c>
      <c r="I209" s="306">
        <f t="shared" si="92"/>
        <v>13125.191999999999</v>
      </c>
      <c r="J209" s="331">
        <v>12536</v>
      </c>
      <c r="K209" s="308">
        <f t="shared" si="89"/>
        <v>0</v>
      </c>
      <c r="L209" s="21">
        <f>L73</f>
        <v>0.0073688497138503454</v>
      </c>
      <c r="M209" s="22">
        <f>M73</f>
        <v>20406.666045311467</v>
      </c>
      <c r="N209" s="22">
        <f>N73</f>
        <v>92873.053965311468</v>
      </c>
      <c r="P209" s="332" t="s">
        <v>849</v>
      </c>
    </row>
    <row r="210" ht="15.65">
      <c r="B210" s="326" t="s">
        <v>850</v>
      </c>
      <c r="C210" s="327" t="s">
        <v>767</v>
      </c>
      <c r="D210" s="328">
        <v>89</v>
      </c>
      <c r="E210" s="329" t="s">
        <v>778</v>
      </c>
      <c r="F210" s="330"/>
      <c r="G210" s="330">
        <f>SUMIF('Объемы работ 2026'!$C$2:$C$152,'НЕ ТРАГАТЬ ДЛЯ ЗАПОЛНЕНИЯ!!!!!'!B210,'Объемы работ 2026'!$G$2:$G$152)</f>
        <v>0</v>
      </c>
      <c r="H210" s="330" t="str">
        <f t="shared" si="95"/>
        <v>шт.</v>
      </c>
      <c r="I210" s="306">
        <f t="shared" si="92"/>
        <v>10054.340999999999</v>
      </c>
      <c r="J210" s="331">
        <v>9603</v>
      </c>
      <c r="K210" s="308">
        <f t="shared" si="89"/>
        <v>0</v>
      </c>
      <c r="L210" s="21">
        <f>L123</f>
        <v>0.0033483466703623896</v>
      </c>
      <c r="M210" s="22">
        <f>M123</f>
        <v>9272.6266594346198</v>
      </c>
      <c r="N210" s="22">
        <f>N123</f>
        <v>42200.776659434618</v>
      </c>
      <c r="P210" s="332" t="s">
        <v>851</v>
      </c>
    </row>
    <row r="211" ht="15.65">
      <c r="B211" s="326" t="s">
        <v>852</v>
      </c>
      <c r="C211" s="327" t="s">
        <v>767</v>
      </c>
      <c r="D211" s="328">
        <v>89</v>
      </c>
      <c r="E211" s="329" t="s">
        <v>766</v>
      </c>
      <c r="F211" s="330"/>
      <c r="G211" s="330">
        <f>SUMIF('Объемы работ 2026'!$C$2:$C$152,'НЕ ТРАГАТЬ ДЛЯ ЗАПОЛНЕНИЯ!!!!!'!B211,'Объемы работ 2026'!$G$2:$G$152)</f>
        <v>0</v>
      </c>
      <c r="H211" s="330" t="str">
        <f t="shared" si="95"/>
        <v>шт.</v>
      </c>
      <c r="I211" s="306">
        <f t="shared" si="92"/>
        <v>10397.757</v>
      </c>
      <c r="J211" s="331">
        <v>9931</v>
      </c>
      <c r="K211" s="308">
        <f t="shared" si="89"/>
        <v>0</v>
      </c>
      <c r="L211" s="21">
        <f>L124+L43</f>
        <v>0.0082887837405827298</v>
      </c>
      <c r="M211" s="22">
        <f>M124+M43</f>
        <v>22954.253144551862</v>
      </c>
      <c r="N211" s="22">
        <f>N124+N43</f>
        <v>104467.41208455185</v>
      </c>
      <c r="P211" s="332" t="s">
        <v>853</v>
      </c>
    </row>
    <row r="212" ht="15.65">
      <c r="B212" s="326" t="s">
        <v>854</v>
      </c>
      <c r="C212" s="327" t="s">
        <v>767</v>
      </c>
      <c r="D212" s="328">
        <v>89</v>
      </c>
      <c r="E212" s="329" t="s">
        <v>766</v>
      </c>
      <c r="F212" s="330" t="s">
        <v>834</v>
      </c>
      <c r="G212" s="330">
        <f>SUMIF('Объемы работ 2026'!$C$2:$C$152,'НЕ ТРАГАТЬ ДЛЯ ЗАПОЛНЕНИЯ!!!!!'!B212,'Объемы работ 2026'!$G$2:$G$152)</f>
        <v>0</v>
      </c>
      <c r="H212" s="330" t="str">
        <f t="shared" si="95"/>
        <v>шт.</v>
      </c>
      <c r="I212" s="306">
        <f t="shared" si="92"/>
        <v>10863.671999999999</v>
      </c>
      <c r="J212" s="331">
        <v>10376</v>
      </c>
      <c r="K212" s="308">
        <f t="shared" si="89"/>
        <v>0</v>
      </c>
      <c r="L212" s="21">
        <f>L6+L165</f>
        <v>0.0068535514048385562</v>
      </c>
      <c r="M212" s="22">
        <f>M6+M165</f>
        <v>18979.642708690484</v>
      </c>
      <c r="N212" s="22">
        <f>N6+N165</f>
        <v>86378.508748690481</v>
      </c>
      <c r="P212" s="332" t="s">
        <v>855</v>
      </c>
    </row>
    <row r="213" ht="15.65">
      <c r="B213" s="326" t="s">
        <v>856</v>
      </c>
      <c r="C213" s="327" t="s">
        <v>767</v>
      </c>
      <c r="D213" s="328">
        <v>76</v>
      </c>
      <c r="E213" s="329" t="s">
        <v>778</v>
      </c>
      <c r="F213" s="330"/>
      <c r="G213" s="330">
        <f>SUMIF('Объемы работ 2026'!$C$2:$C$152,'НЕ ТРАГАТЬ ДЛЯ ЗАПОЛНЕНИЯ!!!!!'!B213,'Объемы работ 2026'!$G$2:$G$152)</f>
        <v>0</v>
      </c>
      <c r="H213" s="330" t="str">
        <f t="shared" ref="H213:H214" si="97">H74</f>
        <v>шт.</v>
      </c>
      <c r="I213" s="306">
        <f t="shared" si="92"/>
        <v>8670.2070000000003</v>
      </c>
      <c r="J213" s="331">
        <v>8281</v>
      </c>
      <c r="K213" s="308">
        <f t="shared" si="89"/>
        <v>0</v>
      </c>
      <c r="L213" s="21">
        <f t="shared" ref="L213:N214" si="98">L74</f>
        <v>0.0028834449712037869</v>
      </c>
      <c r="M213" s="22">
        <f t="shared" si="98"/>
        <v>7985.1674104292142</v>
      </c>
      <c r="N213" s="22">
        <f t="shared" si="98"/>
        <v>36341.403450429207</v>
      </c>
      <c r="P213" s="332" t="s">
        <v>857</v>
      </c>
    </row>
    <row r="214" ht="15.65">
      <c r="B214" s="326" t="s">
        <v>858</v>
      </c>
      <c r="C214" s="327" t="s">
        <v>767</v>
      </c>
      <c r="D214" s="328">
        <v>76</v>
      </c>
      <c r="E214" s="329" t="s">
        <v>766</v>
      </c>
      <c r="F214" s="330"/>
      <c r="G214" s="330">
        <f>SUMIF('Объемы работ 2026'!$C$2:$C$152,'НЕ ТРАГАТЬ ДЛЯ ЗАПОЛНЕНИЯ!!!!!'!B214,'Объемы работ 2026'!$G$2:$G$152)</f>
        <v>0</v>
      </c>
      <c r="H214" s="330" t="str">
        <f t="shared" si="97"/>
        <v>шт.</v>
      </c>
      <c r="I214" s="306">
        <f t="shared" si="92"/>
        <v>9370.6499999999996</v>
      </c>
      <c r="J214" s="331">
        <v>8950</v>
      </c>
      <c r="K214" s="308">
        <f t="shared" si="89"/>
        <v>0</v>
      </c>
      <c r="L214" s="21">
        <f t="shared" si="98"/>
        <v>0.0028124706683633934</v>
      </c>
      <c r="M214" s="22">
        <f t="shared" si="98"/>
        <v>7788.6172089587699</v>
      </c>
      <c r="N214" s="22">
        <f t="shared" si="98"/>
        <v>35446.881168958767</v>
      </c>
      <c r="P214" s="332" t="s">
        <v>859</v>
      </c>
    </row>
    <row r="215" ht="15.65">
      <c r="B215" s="326" t="s">
        <v>860</v>
      </c>
      <c r="C215" s="333" t="s">
        <v>767</v>
      </c>
      <c r="D215" s="334">
        <v>57</v>
      </c>
      <c r="E215" s="335" t="s">
        <v>778</v>
      </c>
      <c r="F215" s="336"/>
      <c r="G215" s="330">
        <f>SUMIF('Объемы работ 2026'!$C$2:$C$152,'НЕ ТРАГАТЬ ДЛЯ ЗАПОЛНЕНИЯ!!!!!'!B215,'Объемы работ 2026'!$G$2:$G$152)</f>
        <v>0</v>
      </c>
      <c r="H215" s="336" t="str">
        <f t="shared" ref="H215:H216" si="99">H27</f>
        <v>шт.</v>
      </c>
      <c r="I215" s="306">
        <f t="shared" si="92"/>
        <v>7028.5109999999995</v>
      </c>
      <c r="J215" s="331">
        <v>6713</v>
      </c>
      <c r="K215" s="308">
        <f t="shared" si="89"/>
        <v>0</v>
      </c>
      <c r="L215" s="337">
        <f t="shared" ref="L215:N216" si="100">L27</f>
        <v>0.0021442194575865981</v>
      </c>
      <c r="M215" s="338">
        <f t="shared" si="100"/>
        <v>5938.0191071864292</v>
      </c>
      <c r="N215" s="338">
        <f t="shared" si="100"/>
        <v>27024.599107186426</v>
      </c>
      <c r="P215" s="332" t="s">
        <v>861</v>
      </c>
    </row>
    <row r="216" ht="15.65">
      <c r="B216" s="326" t="s">
        <v>862</v>
      </c>
      <c r="C216" s="327" t="s">
        <v>767</v>
      </c>
      <c r="D216" s="328">
        <v>57</v>
      </c>
      <c r="E216" s="329" t="s">
        <v>766</v>
      </c>
      <c r="F216" s="330"/>
      <c r="G216" s="330">
        <f>SUMIF('Объемы работ 2026'!$C$2:$C$152,'НЕ ТРАГАТЬ ДЛЯ ЗАПОЛНЕНИЯ!!!!!'!B216,'Объемы работ 2026'!$G$2:$G$152)</f>
        <v>0</v>
      </c>
      <c r="H216" s="330" t="str">
        <f t="shared" si="99"/>
        <v>шт.</v>
      </c>
      <c r="I216" s="306">
        <f t="shared" si="92"/>
        <v>7878.6749999999993</v>
      </c>
      <c r="J216" s="331">
        <v>7525</v>
      </c>
      <c r="K216" s="308">
        <f t="shared" si="89"/>
        <v>0</v>
      </c>
      <c r="L216" s="21">
        <f t="shared" si="100"/>
        <v>0.0011352800948789214</v>
      </c>
      <c r="M216" s="22">
        <f t="shared" si="100"/>
        <v>3143.9481959496197</v>
      </c>
      <c r="N216" s="22">
        <f t="shared" si="100"/>
        <v>14308.465175949619</v>
      </c>
      <c r="P216" s="332" t="s">
        <v>863</v>
      </c>
    </row>
    <row r="217" ht="15.65">
      <c r="B217" s="326" t="s">
        <v>864</v>
      </c>
      <c r="C217" s="333" t="s">
        <v>129</v>
      </c>
      <c r="D217" s="334" t="s">
        <v>786</v>
      </c>
      <c r="E217" s="335" t="s">
        <v>766</v>
      </c>
      <c r="F217" s="336"/>
      <c r="G217" s="330">
        <f>SUMIF('Объемы работ 2026'!$C$2:$C$152,'НЕ ТРАГАТЬ ДЛЯ ЗАПОЛНЕНИЯ!!!!!'!B217,'Объемы работ 2026'!$G$2:$G$152)</f>
        <v>0</v>
      </c>
      <c r="H217" s="336" t="str">
        <f t="shared" ref="H217:H228" si="101">H77</f>
        <v>шт.</v>
      </c>
      <c r="I217" s="306">
        <f t="shared" si="92"/>
        <v>15120.773999999999</v>
      </c>
      <c r="J217" s="331">
        <v>14442</v>
      </c>
      <c r="K217" s="308">
        <f t="shared" si="89"/>
        <v>0</v>
      </c>
      <c r="L217" s="337">
        <f>L77</f>
        <v>0.0025510952139063798</v>
      </c>
      <c r="M217" s="338">
        <f>M77</f>
        <v>7064.7862422991448</v>
      </c>
      <c r="N217" s="338">
        <f>N77</f>
        <v>32152.644262299145</v>
      </c>
      <c r="P217" s="332" t="s">
        <v>865</v>
      </c>
    </row>
    <row r="218" ht="15.65">
      <c r="B218" s="326" t="s">
        <v>866</v>
      </c>
      <c r="C218" s="327" t="s">
        <v>129</v>
      </c>
      <c r="D218" s="328" t="s">
        <v>130</v>
      </c>
      <c r="E218" s="329" t="s">
        <v>766</v>
      </c>
      <c r="F218" s="330"/>
      <c r="G218" s="330">
        <f>SUMIF('Объемы работ 2026'!$C$2:$C$152,'НЕ ТРАГАТЬ ДЛЯ ЗАПОЛНЕНИЯ!!!!!'!B218,'Объемы работ 2026'!$G$2:$G$152)</f>
        <v>0</v>
      </c>
      <c r="H218" s="330" t="str">
        <f t="shared" si="101"/>
        <v>шт.</v>
      </c>
      <c r="I218" s="306">
        <f t="shared" si="92"/>
        <v>9408.3419999999987</v>
      </c>
      <c r="J218" s="331">
        <v>8986</v>
      </c>
      <c r="K218" s="308">
        <f t="shared" si="89"/>
        <v>0</v>
      </c>
      <c r="L218" s="21">
        <f>L78+L128</f>
        <v>0.0031666437674888093</v>
      </c>
      <c r="M218" s="22">
        <f>M78+M128</f>
        <v>8769.4340849632717</v>
      </c>
      <c r="N218" s="22">
        <f>N78+N128</f>
        <v>39910.690124963265</v>
      </c>
      <c r="P218" s="332" t="s">
        <v>867</v>
      </c>
    </row>
    <row r="219" ht="15.65">
      <c r="B219" s="326" t="s">
        <v>868</v>
      </c>
      <c r="C219" s="327" t="s">
        <v>129</v>
      </c>
      <c r="D219" s="328" t="s">
        <v>787</v>
      </c>
      <c r="E219" s="329" t="s">
        <v>766</v>
      </c>
      <c r="F219" s="330"/>
      <c r="G219" s="330">
        <f>SUMIF('Объемы работ 2026'!$C$2:$C$152,'НЕ ТРАГАТЬ ДЛЯ ЗАПОЛНЕНИЯ!!!!!'!B219,'Объемы работ 2026'!$G$2:$G$152)</f>
        <v>0</v>
      </c>
      <c r="H219" s="330" t="str">
        <f t="shared" si="101"/>
        <v>шт.</v>
      </c>
      <c r="I219" s="306">
        <f t="shared" si="92"/>
        <v>8339.3549999999996</v>
      </c>
      <c r="J219" s="331">
        <v>7965</v>
      </c>
      <c r="K219" s="308">
        <f t="shared" si="89"/>
        <v>0</v>
      </c>
      <c r="L219" s="21">
        <f>L79</f>
        <v>0.0013964745576240233</v>
      </c>
      <c r="M219" s="22">
        <f>M79</f>
        <v>3867.2779395465718</v>
      </c>
      <c r="N219" s="22">
        <f>N79</f>
        <v>17600.420959546573</v>
      </c>
      <c r="P219" s="332" t="s">
        <v>869</v>
      </c>
    </row>
    <row r="220" ht="15.65">
      <c r="B220" s="326" t="s">
        <v>870</v>
      </c>
      <c r="C220" s="327" t="s">
        <v>129</v>
      </c>
      <c r="D220" s="328" t="s">
        <v>132</v>
      </c>
      <c r="E220" s="329" t="s">
        <v>766</v>
      </c>
      <c r="F220" s="330"/>
      <c r="G220" s="330">
        <f>SUMIF('Объемы работ 2026'!$C$2:$C$152,'НЕ ТРАГАТЬ ДЛЯ ЗАПОЛНЕНИЯ!!!!!'!B220,'Объемы работ 2026'!$G$2:$G$152)</f>
        <v>0</v>
      </c>
      <c r="H220" s="330" t="str">
        <f t="shared" si="101"/>
        <v>шт.</v>
      </c>
      <c r="I220" s="306">
        <f t="shared" si="92"/>
        <v>6988.7249999999995</v>
      </c>
      <c r="J220" s="331">
        <v>6675</v>
      </c>
      <c r="K220" s="308">
        <f t="shared" si="89"/>
        <v>0</v>
      </c>
      <c r="L220" s="21">
        <f>L80+L129</f>
        <v>0.0022946895789270299</v>
      </c>
      <c r="M220" s="22">
        <f>M80+M129</f>
        <v>6354.718271266308</v>
      </c>
      <c r="N220" s="22">
        <f>N80+N129</f>
        <v>28921.044311266309</v>
      </c>
      <c r="P220" s="332" t="s">
        <v>871</v>
      </c>
    </row>
    <row r="221" ht="15.65">
      <c r="B221" s="326" t="s">
        <v>872</v>
      </c>
      <c r="C221" s="327" t="s">
        <v>129</v>
      </c>
      <c r="D221" s="328" t="s">
        <v>794</v>
      </c>
      <c r="E221" s="329" t="s">
        <v>766</v>
      </c>
      <c r="F221" s="330"/>
      <c r="G221" s="330">
        <f>SUMIF('Объемы работ 2026'!$C$2:$C$152,'НЕ ТРАГАТЬ ДЛЯ ЗАПОЛНЕНИЯ!!!!!'!B221,'Объемы работ 2026'!$G$2:$G$152)</f>
        <v>0</v>
      </c>
      <c r="H221" s="330" t="str">
        <f t="shared" si="101"/>
        <v>шт.</v>
      </c>
      <c r="I221" s="306">
        <f t="shared" si="92"/>
        <v>6177.2999999999993</v>
      </c>
      <c r="J221" s="331">
        <v>5900</v>
      </c>
      <c r="K221" s="308">
        <f t="shared" si="89"/>
        <v>0</v>
      </c>
      <c r="L221" s="21">
        <f>L167</f>
        <v>0.00096049746334313354</v>
      </c>
      <c r="M221" s="22">
        <f>M167</f>
        <v>2659.9200326980895</v>
      </c>
      <c r="N221" s="22">
        <f>N167</f>
        <v>12105.598052698089</v>
      </c>
      <c r="P221" s="332" t="s">
        <v>873</v>
      </c>
    </row>
    <row r="222" ht="15.65">
      <c r="B222" s="326" t="s">
        <v>874</v>
      </c>
      <c r="C222" s="327" t="s">
        <v>129</v>
      </c>
      <c r="D222" s="328" t="s">
        <v>770</v>
      </c>
      <c r="E222" s="329" t="s">
        <v>766</v>
      </c>
      <c r="F222" s="330"/>
      <c r="G222" s="330">
        <f>SUMIF('Объемы работ 2026'!$C$2:$C$152,'НЕ ТРАГАТЬ ДЛЯ ЗАПОЛНЕНИЯ!!!!!'!B222,'Объемы работ 2026'!$G$2:$G$152)</f>
        <v>0</v>
      </c>
      <c r="H222" s="330" t="str">
        <f t="shared" si="101"/>
        <v>шт.</v>
      </c>
      <c r="I222" s="306">
        <f t="shared" si="92"/>
        <v>5179.509</v>
      </c>
      <c r="J222" s="331">
        <v>4947</v>
      </c>
      <c r="K222" s="308">
        <f t="shared" si="89"/>
        <v>0</v>
      </c>
      <c r="L222" s="21">
        <f t="shared" ref="L222:N223" si="102">L8</f>
        <v>0.00080984847960504833</v>
      </c>
      <c r="M222" s="22">
        <f t="shared" si="102"/>
        <v>2242.725542297454</v>
      </c>
      <c r="N222" s="22">
        <f t="shared" si="102"/>
        <v>10206.898562297454</v>
      </c>
      <c r="P222" s="332" t="s">
        <v>875</v>
      </c>
    </row>
    <row r="223" ht="15.65">
      <c r="B223" s="326" t="s">
        <v>876</v>
      </c>
      <c r="C223" s="327" t="s">
        <v>129</v>
      </c>
      <c r="D223" s="328" t="s">
        <v>236</v>
      </c>
      <c r="E223" s="329" t="s">
        <v>766</v>
      </c>
      <c r="F223" s="330"/>
      <c r="G223" s="330">
        <f>SUMIF('Объемы работ 2026'!$C$2:$C$152,'НЕ ТРАГАТЬ ДЛЯ ЗАПОЛНЕНИЯ!!!!!'!B223,'Объемы работ 2026'!$G$2:$G$152)</f>
        <v>0</v>
      </c>
      <c r="H223" s="330" t="str">
        <f t="shared" si="101"/>
        <v>шт.</v>
      </c>
      <c r="I223" s="306">
        <f t="shared" si="92"/>
        <v>5214.0599999999995</v>
      </c>
      <c r="J223" s="331">
        <v>4980</v>
      </c>
      <c r="K223" s="308">
        <f t="shared" si="89"/>
        <v>0</v>
      </c>
      <c r="L223" s="21">
        <f t="shared" si="102"/>
        <v>0.00080683124130177103</v>
      </c>
      <c r="M223" s="22">
        <f t="shared" si="102"/>
        <v>2234.3698590056138</v>
      </c>
      <c r="N223" s="22">
        <f t="shared" si="102"/>
        <v>10168.870899005613</v>
      </c>
      <c r="P223" s="332" t="s">
        <v>877</v>
      </c>
    </row>
    <row r="224" ht="15.65">
      <c r="B224" s="326" t="s">
        <v>878</v>
      </c>
      <c r="C224" s="327" t="s">
        <v>129</v>
      </c>
      <c r="D224" s="328" t="s">
        <v>792</v>
      </c>
      <c r="E224" s="329" t="s">
        <v>766</v>
      </c>
      <c r="F224" s="330"/>
      <c r="G224" s="330">
        <f>SUMIF('Объемы работ 2026'!$C$2:$C$152,'НЕ ТРАГАТЬ ДЛЯ ЗАПОЛНЕНИЯ!!!!!'!B224,'Объемы работ 2026'!$G$2:$G$152)</f>
        <v>0</v>
      </c>
      <c r="H224" s="330" t="str">
        <f t="shared" si="101"/>
        <v>шт.</v>
      </c>
      <c r="I224" s="306">
        <f t="shared" si="92"/>
        <v>4800.4949999999999</v>
      </c>
      <c r="J224" s="331">
        <v>4585</v>
      </c>
      <c r="K224" s="308">
        <f t="shared" si="89"/>
        <v>0</v>
      </c>
      <c r="L224" s="21">
        <f>L130+L168</f>
        <v>0.0016136667412320576</v>
      </c>
      <c r="M224" s="22">
        <f>M130+M168</f>
        <v>4468.7515114950547</v>
      </c>
      <c r="N224" s="22">
        <f>N130+N168</f>
        <v>20337.795471495054</v>
      </c>
      <c r="P224" s="332" t="s">
        <v>879</v>
      </c>
    </row>
    <row r="225" ht="15.65">
      <c r="B225" s="326" t="s">
        <v>880</v>
      </c>
      <c r="C225" s="327" t="s">
        <v>190</v>
      </c>
      <c r="D225" s="328" t="s">
        <v>228</v>
      </c>
      <c r="E225" s="329" t="s">
        <v>766</v>
      </c>
      <c r="F225" s="330"/>
      <c r="G225" s="330">
        <f>SUMIF('Объемы работ 2026'!$C$2:$C$152,'НЕ ТРАГАТЬ ДЛЯ ЗАПОЛНЕНИЯ!!!!!'!B225,'Объемы работ 2026'!$G$2:$G$152)</f>
        <v>0</v>
      </c>
      <c r="H225" s="330" t="str">
        <f t="shared" si="101"/>
        <v>шт.</v>
      </c>
      <c r="I225" s="306">
        <f t="shared" si="92"/>
        <v>29954.669999999998</v>
      </c>
      <c r="J225" s="331">
        <v>28610</v>
      </c>
      <c r="K225" s="308">
        <f t="shared" si="89"/>
        <v>0</v>
      </c>
      <c r="L225" s="21">
        <f>L131</f>
        <v>0.0025244798503412319</v>
      </c>
      <c r="M225" s="22">
        <f>M131</f>
        <v>6991.079916747728</v>
      </c>
      <c r="N225" s="22">
        <f>N131</f>
        <v>31817.198406747724</v>
      </c>
      <c r="P225" s="332" t="s">
        <v>881</v>
      </c>
    </row>
    <row r="226" ht="15.65">
      <c r="B226" s="326" t="s">
        <v>882</v>
      </c>
      <c r="C226" s="327" t="s">
        <v>190</v>
      </c>
      <c r="D226" s="328" t="s">
        <v>130</v>
      </c>
      <c r="E226" s="329" t="s">
        <v>766</v>
      </c>
      <c r="F226" s="330"/>
      <c r="G226" s="330">
        <f>SUMIF('Объемы работ 2026'!$C$2:$C$152,'НЕ ТРАГАТЬ ДЛЯ ЗАПОЛНЕНИЯ!!!!!'!B226,'Объемы работ 2026'!$G$2:$G$152)</f>
        <v>0</v>
      </c>
      <c r="H226" s="330" t="str">
        <f t="shared" si="101"/>
        <v>шт.</v>
      </c>
      <c r="I226" s="306">
        <f t="shared" si="92"/>
        <v>19868.918999999998</v>
      </c>
      <c r="J226" s="331">
        <v>18977</v>
      </c>
      <c r="K226" s="308">
        <f t="shared" si="89"/>
        <v>0</v>
      </c>
      <c r="L226" s="21">
        <f t="shared" ref="L226:N227" si="103">L81</f>
        <v>0.0016720440209234124</v>
      </c>
      <c r="M226" s="22">
        <f t="shared" si="103"/>
        <v>4630.4165878035201</v>
      </c>
      <c r="N226" s="22">
        <f t="shared" si="103"/>
        <v>21073.551587803518</v>
      </c>
      <c r="P226" s="332" t="s">
        <v>883</v>
      </c>
    </row>
    <row r="227" ht="15.65">
      <c r="B227" s="326" t="s">
        <v>884</v>
      </c>
      <c r="C227" s="327" t="s">
        <v>190</v>
      </c>
      <c r="D227" s="328" t="s">
        <v>788</v>
      </c>
      <c r="E227" s="329" t="s">
        <v>766</v>
      </c>
      <c r="F227" s="330"/>
      <c r="G227" s="330">
        <f>SUMIF('Объемы работ 2026'!$C$2:$C$152,'НЕ ТРАГАТЬ ДЛЯ ЗАПОЛНЕНИЯ!!!!!'!B227,'Объемы работ 2026'!$G$2:$G$152)</f>
        <v>0</v>
      </c>
      <c r="H227" s="330" t="str">
        <f t="shared" si="101"/>
        <v>шт.</v>
      </c>
      <c r="I227" s="306">
        <f t="shared" si="92"/>
        <v>18596.813999999998</v>
      </c>
      <c r="J227" s="331">
        <v>17762</v>
      </c>
      <c r="K227" s="308">
        <f t="shared" si="89"/>
        <v>0</v>
      </c>
      <c r="L227" s="21">
        <f t="shared" si="103"/>
        <v>0.0015659328388582269</v>
      </c>
      <c r="M227" s="22">
        <f t="shared" si="103"/>
        <v>4336.5612996426698</v>
      </c>
      <c r="N227" s="22">
        <f t="shared" si="103"/>
        <v>19736.182809642669</v>
      </c>
      <c r="P227" s="340" t="s">
        <v>885</v>
      </c>
    </row>
    <row r="228" ht="15.65">
      <c r="B228" s="326" t="s">
        <v>886</v>
      </c>
      <c r="C228" s="327" t="s">
        <v>190</v>
      </c>
      <c r="D228" s="328" t="s">
        <v>191</v>
      </c>
      <c r="E228" s="329" t="s">
        <v>766</v>
      </c>
      <c r="F228" s="330"/>
      <c r="G228" s="330">
        <f>SUMIF('Объемы работ 2026'!$C$2:$C$152,'НЕ ТРАГАТЬ ДЛЯ ЗАПОЛНЕНИЯ!!!!!'!B228,'Объемы работ 2026'!$G$2:$G$152)</f>
        <v>0</v>
      </c>
      <c r="H228" s="330" t="str">
        <f t="shared" si="101"/>
        <v>шт.</v>
      </c>
      <c r="I228" s="306">
        <f t="shared" si="92"/>
        <v>17783.294999999998</v>
      </c>
      <c r="J228" s="331">
        <v>16985</v>
      </c>
      <c r="K228" s="308">
        <f t="shared" si="89"/>
        <v>0</v>
      </c>
      <c r="L228" s="21">
        <f>L83+L132</f>
        <v>0.0059879851590501224</v>
      </c>
      <c r="M228" s="22">
        <f>M83+M132</f>
        <v>16582.617120734889</v>
      </c>
      <c r="N228" s="22">
        <f>N83+N132</f>
        <v>75469.373160734889</v>
      </c>
      <c r="P228" s="332" t="s">
        <v>887</v>
      </c>
    </row>
    <row r="229" ht="15.65">
      <c r="B229" s="326" t="s">
        <v>888</v>
      </c>
      <c r="C229" s="327" t="s">
        <v>190</v>
      </c>
      <c r="D229" s="328" t="s">
        <v>789</v>
      </c>
      <c r="E229" s="329" t="s">
        <v>766</v>
      </c>
      <c r="F229" s="330"/>
      <c r="G229" s="330">
        <f>SUMIF('Объемы работ 2026'!$C$2:$C$152,'НЕ ТРАГАТЬ ДЛЯ ЗАПОЛНЕНИЯ!!!!!'!B229,'Объемы работ 2026'!$G$2:$G$152)</f>
        <v>0</v>
      </c>
      <c r="H229" s="330" t="str">
        <f>H84</f>
        <v>шт.</v>
      </c>
      <c r="I229" s="306">
        <f t="shared" si="92"/>
        <v>15519.680999999999</v>
      </c>
      <c r="J229" s="331">
        <v>14823</v>
      </c>
      <c r="K229" s="308">
        <f t="shared" si="89"/>
        <v>0</v>
      </c>
      <c r="L229" s="21">
        <f>L84</f>
        <v>0.0026084099657831014</v>
      </c>
      <c r="M229" s="22">
        <f>M84</f>
        <v>7223.5088443926288</v>
      </c>
      <c r="N229" s="22">
        <f>N84</f>
        <v>32875.008844392629</v>
      </c>
      <c r="P229" s="332" t="s">
        <v>889</v>
      </c>
    </row>
    <row r="230" ht="15.65">
      <c r="B230" s="326" t="s">
        <v>890</v>
      </c>
      <c r="C230" s="333" t="s">
        <v>190</v>
      </c>
      <c r="D230" s="334" t="s">
        <v>793</v>
      </c>
      <c r="E230" s="335" t="s">
        <v>766</v>
      </c>
      <c r="F230" s="336"/>
      <c r="G230" s="330">
        <f>SUMIF('Объемы работ 2026'!$C$2:$C$152,'НЕ ТРАГАТЬ ДЛЯ ЗАПОЛНЕНИЯ!!!!!'!B230,'Объемы работ 2026'!$G$2:$G$152)</f>
        <v>0</v>
      </c>
      <c r="H230" s="336" t="str">
        <f t="shared" ref="H230:H231" si="104">H133</f>
        <v>шт.</v>
      </c>
      <c r="I230" s="306">
        <f t="shared" si="92"/>
        <v>14838.083999999999</v>
      </c>
      <c r="J230" s="331">
        <v>14172</v>
      </c>
      <c r="K230" s="308">
        <f t="shared" si="89"/>
        <v>0</v>
      </c>
      <c r="L230" s="337">
        <f t="shared" ref="L230:N231" si="105">L133</f>
        <v>0.0066711415696313918</v>
      </c>
      <c r="M230" s="338">
        <f t="shared" si="105"/>
        <v>18474.492415903758</v>
      </c>
      <c r="N230" s="338">
        <f t="shared" si="105"/>
        <v>84079.512415903751</v>
      </c>
      <c r="P230" s="332" t="s">
        <v>891</v>
      </c>
    </row>
    <row r="231" ht="15.65">
      <c r="B231" s="326" t="s">
        <v>892</v>
      </c>
      <c r="C231" s="327" t="s">
        <v>190</v>
      </c>
      <c r="D231" s="328" t="s">
        <v>794</v>
      </c>
      <c r="E231" s="329" t="s">
        <v>766</v>
      </c>
      <c r="F231" s="330"/>
      <c r="G231" s="330">
        <f>SUMIF('Объемы работ 2026'!$C$2:$C$152,'НЕ ТРАГАТЬ ДЛЯ ЗАПОЛНЕНИЯ!!!!!'!B231,'Объемы работ 2026'!$G$2:$G$152)</f>
        <v>0</v>
      </c>
      <c r="H231" s="330" t="str">
        <f t="shared" si="104"/>
        <v>шт.</v>
      </c>
      <c r="I231" s="306">
        <f t="shared" si="92"/>
        <v>13697.901</v>
      </c>
      <c r="J231" s="331">
        <v>13083</v>
      </c>
      <c r="K231" s="308">
        <f t="shared" si="89"/>
        <v>0</v>
      </c>
      <c r="L231" s="21">
        <f t="shared" si="105"/>
        <v>0.0027375890738599693</v>
      </c>
      <c r="M231" s="22">
        <f t="shared" si="105"/>
        <v>7581.2464860765203</v>
      </c>
      <c r="N231" s="22">
        <f t="shared" si="105"/>
        <v>34503.113466076516</v>
      </c>
      <c r="P231" s="332" t="s">
        <v>893</v>
      </c>
    </row>
    <row r="232" ht="15.65">
      <c r="B232" s="326" t="s">
        <v>894</v>
      </c>
      <c r="C232" s="327" t="s">
        <v>190</v>
      </c>
      <c r="D232" s="328" t="s">
        <v>770</v>
      </c>
      <c r="E232" s="329" t="s">
        <v>766</v>
      </c>
      <c r="F232" s="330"/>
      <c r="G232" s="330">
        <f>SUMIF('Объемы работ 2026'!$C$2:$C$152,'НЕ ТРАГАТЬ ДЛЯ ЗАПОЛНЕНИЯ!!!!!'!B232,'Объемы работ 2026'!$G$2:$G$152)</f>
        <v>0</v>
      </c>
      <c r="H232" s="330" t="str">
        <f t="shared" ref="H232:H233" si="106">H10</f>
        <v>шт.</v>
      </c>
      <c r="I232" s="306">
        <f t="shared" si="92"/>
        <v>13189.058999999999</v>
      </c>
      <c r="J232" s="331">
        <v>12597</v>
      </c>
      <c r="K232" s="308">
        <f t="shared" si="89"/>
        <v>0</v>
      </c>
      <c r="L232" s="21">
        <f>L10</f>
        <v>0.001239260898029196</v>
      </c>
      <c r="M232" s="22">
        <f>M10</f>
        <v>3431.9037938257229</v>
      </c>
      <c r="N232" s="22">
        <f>N10</f>
        <v>15618.983793825722</v>
      </c>
      <c r="P232" s="332" t="s">
        <v>895</v>
      </c>
    </row>
    <row r="233" ht="15.65">
      <c r="B233" s="326" t="s">
        <v>896</v>
      </c>
      <c r="C233" s="327" t="s">
        <v>190</v>
      </c>
      <c r="D233" s="328" t="s">
        <v>792</v>
      </c>
      <c r="E233" s="329" t="s">
        <v>766</v>
      </c>
      <c r="F233" s="330"/>
      <c r="G233" s="330">
        <f>SUMIF('Объемы работ 2026'!$C$2:$C$152,'НЕ ТРАГАТЬ ДЛЯ ЗАПОЛНЕНИЯ!!!!!'!B233,'Объемы работ 2026'!$G$2:$G$152)</f>
        <v>0</v>
      </c>
      <c r="H233" s="330" t="str">
        <f t="shared" si="106"/>
        <v>шт.</v>
      </c>
      <c r="I233" s="306">
        <f t="shared" si="92"/>
        <v>12028.982999999998</v>
      </c>
      <c r="J233" s="331">
        <v>11489</v>
      </c>
      <c r="K233" s="308">
        <f t="shared" si="89"/>
        <v>0</v>
      </c>
      <c r="L233" s="21">
        <f>L169+L135</f>
        <v>0.0034675893334553168</v>
      </c>
      <c r="M233" s="22">
        <f>M169+M135</f>
        <v>9602.8471549778096</v>
      </c>
      <c r="N233" s="22">
        <f>N169+N135</f>
        <v>43703.647624977806</v>
      </c>
      <c r="P233" s="332" t="s">
        <v>897</v>
      </c>
    </row>
    <row r="234" ht="15.65">
      <c r="B234" s="326" t="s">
        <v>898</v>
      </c>
      <c r="C234" s="327" t="s">
        <v>201</v>
      </c>
      <c r="D234" s="328" t="s">
        <v>228</v>
      </c>
      <c r="E234" s="329" t="s">
        <v>766</v>
      </c>
      <c r="F234" s="330"/>
      <c r="G234" s="330">
        <f>SUMIF('Объемы работ 2026'!$C$2:$C$152,'НЕ ТРАГАТЬ ДЛЯ ЗАПОЛНЕНИЯ!!!!!'!B234,'Объемы работ 2026'!$G$2:$G$152)</f>
        <v>0</v>
      </c>
      <c r="H234" s="330" t="str">
        <f>H136</f>
        <v>шт.</v>
      </c>
      <c r="I234" s="306">
        <f t="shared" si="92"/>
        <v>37065.894</v>
      </c>
      <c r="J234" s="331">
        <v>35402</v>
      </c>
      <c r="K234" s="308">
        <f t="shared" si="89"/>
        <v>0</v>
      </c>
      <c r="L234" s="21">
        <f>L136</f>
        <v>0.0025244798503412319</v>
      </c>
      <c r="M234" s="22">
        <f>M136</f>
        <v>6991.079916747728</v>
      </c>
      <c r="N234" s="22">
        <f>N136</f>
        <v>31817.198406747724</v>
      </c>
      <c r="P234" s="332" t="s">
        <v>899</v>
      </c>
    </row>
    <row r="235" ht="15.65">
      <c r="B235" s="326" t="s">
        <v>900</v>
      </c>
      <c r="C235" s="327" t="s">
        <v>201</v>
      </c>
      <c r="D235" s="328" t="s">
        <v>130</v>
      </c>
      <c r="E235" s="329" t="s">
        <v>766</v>
      </c>
      <c r="F235" s="330"/>
      <c r="G235" s="330">
        <f>SUMIF('Объемы работ 2026'!$C$2:$C$152,'НЕ ТРАГАТЬ ДЛЯ ЗАПОЛНЕНИЯ!!!!!'!B235,'Объемы работ 2026'!$G$2:$G$152)</f>
        <v>0</v>
      </c>
      <c r="H235" s="330" t="str">
        <f t="shared" ref="H235:H236" si="107">H85</f>
        <v>шт.</v>
      </c>
      <c r="I235" s="306">
        <f t="shared" si="92"/>
        <v>31151.391</v>
      </c>
      <c r="J235" s="331">
        <v>29753</v>
      </c>
      <c r="K235" s="308">
        <f t="shared" si="89"/>
        <v>0</v>
      </c>
      <c r="L235" s="21">
        <f t="shared" ref="L235:N236" si="108">L85</f>
        <v>0.0026201211942009027</v>
      </c>
      <c r="M235" s="22">
        <f t="shared" si="108"/>
        <v>7255.9409249184728</v>
      </c>
      <c r="N235" s="22">
        <f t="shared" si="108"/>
        <v>33022.610924918474</v>
      </c>
      <c r="P235" s="332" t="s">
        <v>901</v>
      </c>
    </row>
    <row r="236" ht="15.65">
      <c r="B236" s="326" t="s">
        <v>902</v>
      </c>
      <c r="C236" s="327" t="s">
        <v>201</v>
      </c>
      <c r="D236" s="328" t="s">
        <v>788</v>
      </c>
      <c r="E236" s="329" t="s">
        <v>766</v>
      </c>
      <c r="F236" s="330"/>
      <c r="G236" s="330">
        <f>SUMIF('Объемы работ 2026'!$C$2:$C$152,'НЕ ТРАГАТЬ ДЛЯ ЗАПОЛНЕНИЯ!!!!!'!B236,'Объемы работ 2026'!$G$2:$G$152)</f>
        <v>0</v>
      </c>
      <c r="H236" s="330" t="str">
        <f t="shared" si="107"/>
        <v>шт.</v>
      </c>
      <c r="I236" s="306">
        <f t="shared" si="92"/>
        <v>27334.028999999999</v>
      </c>
      <c r="J236" s="331">
        <v>26107</v>
      </c>
      <c r="K236" s="308">
        <f t="shared" si="89"/>
        <v>0</v>
      </c>
      <c r="L236" s="21">
        <f t="shared" si="108"/>
        <v>0.0023013809489821099</v>
      </c>
      <c r="M236" s="22">
        <f t="shared" si="108"/>
        <v>6373.2487827303921</v>
      </c>
      <c r="N236" s="22">
        <f t="shared" si="108"/>
        <v>29005.37877273039</v>
      </c>
      <c r="P236" s="332" t="s">
        <v>903</v>
      </c>
    </row>
    <row r="237" ht="15.65">
      <c r="B237" s="326" t="s">
        <v>904</v>
      </c>
      <c r="C237" s="327" t="s">
        <v>201</v>
      </c>
      <c r="D237" s="328" t="s">
        <v>770</v>
      </c>
      <c r="E237" s="329" t="s">
        <v>766</v>
      </c>
      <c r="F237" s="330"/>
      <c r="G237" s="330">
        <f>SUMIF('Объемы работ 2026'!$C$2:$C$152,'НЕ ТРАГАТЬ ДЛЯ ЗАПОЛНЕНИЯ!!!!!'!B237,'Объемы работ 2026'!$G$2:$G$152)</f>
        <v>0</v>
      </c>
      <c r="H237" s="330" t="str">
        <f>H11</f>
        <v>шт.</v>
      </c>
      <c r="I237" s="306">
        <f t="shared" si="92"/>
        <v>20645.792999999998</v>
      </c>
      <c r="J237" s="331">
        <v>19719</v>
      </c>
      <c r="K237" s="308">
        <f t="shared" si="89"/>
        <v>0</v>
      </c>
      <c r="L237" s="21">
        <f>L11</f>
        <v>0.0017353027535507329</v>
      </c>
      <c r="M237" s="22">
        <f>M11</f>
        <v>4805.5999449493474</v>
      </c>
      <c r="N237" s="22">
        <f>N11</f>
        <v>21870.830934949347</v>
      </c>
      <c r="P237" s="332" t="s">
        <v>905</v>
      </c>
    </row>
    <row r="238" ht="15.65">
      <c r="B238" s="326" t="s">
        <v>906</v>
      </c>
      <c r="C238" s="327" t="s">
        <v>201</v>
      </c>
      <c r="D238" s="328" t="s">
        <v>792</v>
      </c>
      <c r="E238" s="329" t="s">
        <v>766</v>
      </c>
      <c r="F238" s="330"/>
      <c r="G238" s="330">
        <f>SUMIF('Объемы работ 2026'!$C$2:$C$152,'НЕ ТРАГАТЬ ДЛЯ ЗАПОЛНЕНИЯ!!!!!'!B238,'Объемы работ 2026'!$G$2:$G$152)</f>
        <v>0</v>
      </c>
      <c r="H238" s="330" t="str">
        <f>H137</f>
        <v>шт.</v>
      </c>
      <c r="I238" s="306">
        <f t="shared" si="92"/>
        <v>19140.206999999999</v>
      </c>
      <c r="J238" s="331">
        <v>18281</v>
      </c>
      <c r="K238" s="308">
        <f t="shared" si="89"/>
        <v>0</v>
      </c>
      <c r="L238" s="21">
        <f>L137</f>
        <v>0.0016091408837771418</v>
      </c>
      <c r="M238" s="22">
        <f>M137</f>
        <v>4456.2179865572953</v>
      </c>
      <c r="N238" s="22">
        <f>N137</f>
        <v>20280.753976557295</v>
      </c>
      <c r="P238" s="332" t="s">
        <v>907</v>
      </c>
    </row>
    <row r="239" ht="15.65">
      <c r="B239" s="326" t="s">
        <v>908</v>
      </c>
      <c r="C239" s="327" t="s">
        <v>211</v>
      </c>
      <c r="D239" s="328" t="s">
        <v>796</v>
      </c>
      <c r="E239" s="328"/>
      <c r="F239" s="330"/>
      <c r="G239" s="330">
        <f>SUMIF('Объемы работ 2026'!$C$2:$C$152,'НЕ ТРАГАТЬ ДЛЯ ЗАПОЛНЕНИЯ!!!!!'!B239,'Объемы работ 2026'!$G$2:$G$152)</f>
        <v>0</v>
      </c>
      <c r="H239" s="330" t="str">
        <f>H160</f>
        <v>шт.</v>
      </c>
      <c r="I239" s="306">
        <f t="shared" si="92"/>
        <v>7599.1259999999993</v>
      </c>
      <c r="J239" s="331">
        <v>7258</v>
      </c>
      <c r="K239" s="308">
        <f t="shared" si="89"/>
        <v>0</v>
      </c>
      <c r="L239" s="21">
        <f>L160</f>
        <v>0.0077272771828628102</v>
      </c>
      <c r="M239" s="22">
        <f>M160</f>
        <v>21399.264611659721</v>
      </c>
      <c r="N239" s="22">
        <f>N160</f>
        <v>97390.482731659707</v>
      </c>
      <c r="P239" s="332" t="s">
        <v>909</v>
      </c>
    </row>
    <row r="240" ht="16.300000000000001">
      <c r="B240" s="326" t="s">
        <v>910</v>
      </c>
      <c r="C240" s="327" t="s">
        <v>151</v>
      </c>
      <c r="D240" s="328">
        <v>325</v>
      </c>
      <c r="E240" s="329" t="s">
        <v>778</v>
      </c>
      <c r="F240" s="330"/>
      <c r="G240" s="330">
        <f>SUMIF('Объемы работ 2026'!$C$2:$C$152,'НЕ ТРАГАТЬ ДЛЯ ЗАПОЛНЕНИЯ!!!!!'!B240,'Объемы работ 2026'!$G$2:$G$152)</f>
        <v>0</v>
      </c>
      <c r="H240" s="330" t="str">
        <f t="shared" ref="H240:H245" si="109">H97</f>
        <v>шт.</v>
      </c>
      <c r="I240" s="306">
        <f t="shared" si="92"/>
        <v>4135.6499999999996</v>
      </c>
      <c r="J240" s="331">
        <v>3950</v>
      </c>
      <c r="K240" s="308">
        <f t="shared" si="89"/>
        <v>0</v>
      </c>
      <c r="L240" s="21">
        <f t="shared" ref="L240:N241" si="110">L97</f>
        <v>0.0054113029786149909</v>
      </c>
      <c r="M240" s="22">
        <f t="shared" si="110"/>
        <v>14985.602508223174</v>
      </c>
      <c r="N240" s="22">
        <f t="shared" si="110"/>
        <v>68201.178348223169</v>
      </c>
      <c r="P240" s="339" t="s">
        <v>911</v>
      </c>
    </row>
    <row r="241" ht="16.300000000000001">
      <c r="B241" s="326" t="s">
        <v>912</v>
      </c>
      <c r="C241" s="327" t="s">
        <v>151</v>
      </c>
      <c r="D241" s="328">
        <v>325</v>
      </c>
      <c r="E241" s="329" t="s">
        <v>766</v>
      </c>
      <c r="F241" s="330"/>
      <c r="G241" s="330">
        <f>SUMIF('Объемы работ 2026'!$C$2:$C$152,'НЕ ТРАГАТЬ ДЛЯ ЗАПОЛНЕНИЯ!!!!!'!B241,'Объемы работ 2026'!$G$2:$G$152)</f>
        <v>0</v>
      </c>
      <c r="H241" s="330" t="str">
        <f t="shared" si="109"/>
        <v>шт.</v>
      </c>
      <c r="I241" s="306">
        <f t="shared" si="92"/>
        <v>6701.8469999999998</v>
      </c>
      <c r="J241" s="331">
        <v>6401</v>
      </c>
      <c r="K241" s="308">
        <f t="shared" si="89"/>
        <v>0</v>
      </c>
      <c r="L241" s="21">
        <f t="shared" si="110"/>
        <v>0.013629749081320402</v>
      </c>
      <c r="M241" s="22">
        <f t="shared" si="110"/>
        <v>37745.068577136808</v>
      </c>
      <c r="N241" s="22">
        <f t="shared" si="110"/>
        <v>171782.0923371368</v>
      </c>
      <c r="P241" s="339" t="s">
        <v>913</v>
      </c>
    </row>
    <row r="242" ht="16.300000000000001">
      <c r="B242" s="326" t="s">
        <v>914</v>
      </c>
      <c r="C242" s="327" t="s">
        <v>151</v>
      </c>
      <c r="D242" s="328">
        <v>219</v>
      </c>
      <c r="E242" s="329" t="s">
        <v>778</v>
      </c>
      <c r="F242" s="330"/>
      <c r="G242" s="330">
        <f>SUMIF('Объемы работ 2026'!$C$2:$C$152,'НЕ ТРАГАТЬ ДЛЯ ЗАПОЛНЕНИЯ!!!!!'!B242,'Объемы работ 2026'!$G$2:$G$152)</f>
        <v>0</v>
      </c>
      <c r="H242" s="330" t="str">
        <f t="shared" si="109"/>
        <v>шт.</v>
      </c>
      <c r="I242" s="306">
        <f t="shared" si="92"/>
        <v>1958.9369999999999</v>
      </c>
      <c r="J242" s="331">
        <v>1871</v>
      </c>
      <c r="K242" s="308">
        <f t="shared" si="89"/>
        <v>0</v>
      </c>
      <c r="L242" s="21">
        <f>L110+L187</f>
        <v>0.097585680329250829</v>
      </c>
      <c r="M242" s="22">
        <f>M110+M187</f>
        <v>270245.48832099925</v>
      </c>
      <c r="N242" s="22">
        <f>N110+N187</f>
        <v>1229917.8986409993</v>
      </c>
      <c r="P242" s="339" t="s">
        <v>915</v>
      </c>
    </row>
    <row r="243" ht="16.300000000000001">
      <c r="B243" s="326" t="s">
        <v>231</v>
      </c>
      <c r="C243" s="327" t="s">
        <v>151</v>
      </c>
      <c r="D243" s="328">
        <v>219</v>
      </c>
      <c r="E243" s="329" t="s">
        <v>766</v>
      </c>
      <c r="F243" s="330"/>
      <c r="G243" s="330">
        <f>SUMIF('Объемы работ 2026'!$C$2:$C$152,'НЕ ТРАГАТЬ ДЛЯ ЗАПОЛНЕНИЯ!!!!!'!B243,'Объемы работ 2026'!$G$2:$G$152)</f>
        <v>157</v>
      </c>
      <c r="H243" s="330" t="str">
        <f t="shared" si="109"/>
        <v>шт.</v>
      </c>
      <c r="I243" s="306">
        <f t="shared" si="92"/>
        <v>1980.924</v>
      </c>
      <c r="J243" s="331">
        <v>1892</v>
      </c>
      <c r="K243" s="308">
        <f t="shared" si="89"/>
        <v>311005.06799999997</v>
      </c>
      <c r="L243" s="21">
        <f>L153+L99</f>
        <v>0.016114684371923236</v>
      </c>
      <c r="M243" s="22">
        <f>M153+M99</f>
        <v>44626.637151432587</v>
      </c>
      <c r="N243" s="22">
        <f>N153+N99</f>
        <v>203100.89219143259</v>
      </c>
      <c r="P243" s="339" t="s">
        <v>916</v>
      </c>
    </row>
    <row r="244" ht="16.300000000000001">
      <c r="B244" s="326" t="s">
        <v>917</v>
      </c>
      <c r="C244" s="327" t="s">
        <v>151</v>
      </c>
      <c r="D244" s="328">
        <v>159</v>
      </c>
      <c r="E244" s="329" t="s">
        <v>766</v>
      </c>
      <c r="F244" s="330"/>
      <c r="G244" s="330">
        <f>SUMIF('Объемы работ 2026'!$C$2:$C$152,'НЕ ТРАГАТЬ ДЛЯ ЗАПОЛНЕНИЯ!!!!!'!B244,'Объемы работ 2026'!$G$2:$G$152)</f>
        <v>0</v>
      </c>
      <c r="H244" s="330" t="str">
        <f t="shared" si="109"/>
        <v>шт.</v>
      </c>
      <c r="I244" s="306">
        <f t="shared" si="92"/>
        <v>1755.819</v>
      </c>
      <c r="J244" s="331">
        <v>1677</v>
      </c>
      <c r="K244" s="308">
        <f t="shared" si="89"/>
        <v>0</v>
      </c>
      <c r="L244" s="21">
        <f>L100</f>
        <v>0.0062858953875421621</v>
      </c>
      <c r="M244" s="22">
        <f>M100</f>
        <v>17407.624385151321</v>
      </c>
      <c r="N244" s="22">
        <f>N100</f>
        <v>79224.07488515132</v>
      </c>
      <c r="P244" s="339" t="s">
        <v>918</v>
      </c>
    </row>
    <row r="245" ht="16.300000000000001">
      <c r="B245" s="326" t="s">
        <v>919</v>
      </c>
      <c r="C245" s="327" t="s">
        <v>151</v>
      </c>
      <c r="D245" s="328">
        <v>133</v>
      </c>
      <c r="E245" s="329" t="s">
        <v>766</v>
      </c>
      <c r="F245" s="330"/>
      <c r="G245" s="330">
        <f>SUMIF('Объемы работ 2026'!$C$2:$C$152,'НЕ ТРАГАТЬ ДЛЯ ЗАПОЛНЕНИЯ!!!!!'!B245,'Объемы работ 2026'!$G$2:$G$152)</f>
        <v>0</v>
      </c>
      <c r="H245" s="330" t="str">
        <f t="shared" si="109"/>
        <v>шт.</v>
      </c>
      <c r="I245" s="306">
        <f t="shared" si="92"/>
        <v>1555.8419999999999</v>
      </c>
      <c r="J245" s="331">
        <v>1486</v>
      </c>
      <c r="K245" s="308">
        <f t="shared" si="89"/>
        <v>0</v>
      </c>
      <c r="L245" s="21">
        <f>L154+L101</f>
        <v>0.0051359059897704822</v>
      </c>
      <c r="M245" s="22">
        <f>M154+M101</f>
        <v>14222.941496061241</v>
      </c>
      <c r="N245" s="22">
        <f>N154+N101</f>
        <v>64730.221496061233</v>
      </c>
      <c r="P245" s="339" t="s">
        <v>920</v>
      </c>
    </row>
    <row r="246" ht="16.300000000000001">
      <c r="B246" s="326" t="s">
        <v>921</v>
      </c>
      <c r="C246" s="333" t="s">
        <v>151</v>
      </c>
      <c r="D246" s="334">
        <v>108</v>
      </c>
      <c r="E246" s="335" t="s">
        <v>778</v>
      </c>
      <c r="F246" s="336"/>
      <c r="G246" s="330">
        <f>SUMIF('Объемы работ 2026'!$C$2:$C$152,'НЕ ТРАГАТЬ ДЛЯ ЗАПОЛНЕНИЯ!!!!!'!B246,'Объемы работ 2026'!$G$2:$G$152)</f>
        <v>0</v>
      </c>
      <c r="H246" s="336" t="str">
        <f>H102</f>
        <v>шт.</v>
      </c>
      <c r="I246" s="306">
        <f t="shared" si="92"/>
        <v>1352.7239999999999</v>
      </c>
      <c r="J246" s="331">
        <v>1292</v>
      </c>
      <c r="K246" s="308">
        <f t="shared" si="89"/>
        <v>0</v>
      </c>
      <c r="L246" s="337">
        <f>L102</f>
        <v>0.00088082917038821555</v>
      </c>
      <c r="M246" s="338">
        <f>M102</f>
        <v>2439.2934339936414</v>
      </c>
      <c r="N246" s="338">
        <f>N102</f>
        <v>11101.501353993643</v>
      </c>
      <c r="P246" s="339" t="s">
        <v>922</v>
      </c>
    </row>
    <row r="247" ht="16.300000000000001">
      <c r="B247" s="326" t="s">
        <v>153</v>
      </c>
      <c r="C247" s="327" t="s">
        <v>151</v>
      </c>
      <c r="D247" s="328">
        <v>108</v>
      </c>
      <c r="E247" s="329" t="s">
        <v>766</v>
      </c>
      <c r="F247" s="330"/>
      <c r="G247" s="330">
        <f>SUMIF('Объемы работ 2026'!$C$2:$C$152,'НЕ ТРАГАТЬ ДЛЯ ЗАПОЛНЕНИЯ!!!!!'!B247,'Объемы работ 2026'!$G$2:$G$152)</f>
        <v>12</v>
      </c>
      <c r="H247" s="330" t="str">
        <f t="shared" ref="H247:H253" si="111">H155</f>
        <v>шт.</v>
      </c>
      <c r="I247" s="306">
        <f t="shared" si="92"/>
        <v>954.86399999999992</v>
      </c>
      <c r="J247" s="331">
        <v>912</v>
      </c>
      <c r="K247" s="308">
        <f t="shared" si="89"/>
        <v>11458.367999999999</v>
      </c>
      <c r="L247" s="21">
        <f>L21+L103+L155+L178</f>
        <v>0.0066349432272490953</v>
      </c>
      <c r="M247" s="22">
        <f>M21+M103+M155+M178</f>
        <v>18374.24780336933</v>
      </c>
      <c r="N247" s="22">
        <f>N21+N103+N155+N178</f>
        <v>83623.287803369312</v>
      </c>
      <c r="P247" s="339">
        <v>912</v>
      </c>
    </row>
    <row r="248" ht="16.300000000000001">
      <c r="B248" s="326" t="s">
        <v>923</v>
      </c>
      <c r="C248" s="327" t="s">
        <v>151</v>
      </c>
      <c r="D248" s="328">
        <v>89</v>
      </c>
      <c r="E248" s="329" t="s">
        <v>778</v>
      </c>
      <c r="F248" s="330"/>
      <c r="G248" s="330">
        <f>SUMIF('Объемы работ 2026'!$C$2:$C$152,'НЕ ТРАГАТЬ ДЛЯ ЗАПОЛНЕНИЯ!!!!!'!B248,'Объемы работ 2026'!$G$2:$G$152)</f>
        <v>0</v>
      </c>
      <c r="H248" s="330" t="str">
        <f t="shared" si="111"/>
        <v>шт.</v>
      </c>
      <c r="I248" s="306">
        <f t="shared" si="92"/>
        <v>1258.4939999999999</v>
      </c>
      <c r="J248" s="331">
        <v>1202</v>
      </c>
      <c r="K248" s="308">
        <f t="shared" si="89"/>
        <v>0</v>
      </c>
      <c r="L248" s="21">
        <f>L156</f>
        <v>0.00082049292157970125</v>
      </c>
      <c r="M248" s="22">
        <f>M156</f>
        <v>2272.2033551244899</v>
      </c>
      <c r="N248" s="22">
        <f>N156</f>
        <v>10341.05543512449</v>
      </c>
      <c r="P248" s="339" t="s">
        <v>924</v>
      </c>
    </row>
    <row r="249" ht="16.300000000000001">
      <c r="B249" s="326" t="s">
        <v>239</v>
      </c>
      <c r="C249" s="327" t="s">
        <v>151</v>
      </c>
      <c r="D249" s="328">
        <v>89</v>
      </c>
      <c r="E249" s="329" t="s">
        <v>766</v>
      </c>
      <c r="F249" s="330"/>
      <c r="G249" s="330">
        <f>SUMIF('Объемы работ 2026'!$C$2:$C$152,'НЕ ТРАГАТЬ ДЛЯ ЗАПОЛНЕНИЯ!!!!!'!B249,'Объемы работ 2026'!$G$2:$G$152)</f>
        <v>28</v>
      </c>
      <c r="H249" s="330" t="str">
        <f t="shared" si="111"/>
        <v>шт.</v>
      </c>
      <c r="I249" s="306">
        <f t="shared" si="92"/>
        <v>845.976</v>
      </c>
      <c r="J249" s="331">
        <v>808</v>
      </c>
      <c r="K249" s="308">
        <f t="shared" si="89"/>
        <v>23687.328000000001</v>
      </c>
      <c r="L249" s="21">
        <f>L22+L52+L104+L157+L179</f>
        <v>0.0071688261911028086</v>
      </c>
      <c r="M249" s="22">
        <f>M22+M52+M104+M157+M179</f>
        <v>19852.737903413872</v>
      </c>
      <c r="N249" s="22">
        <f>N22+N52+N104+N157+N179</f>
        <v>90352.064103413868</v>
      </c>
      <c r="P249" s="339">
        <v>808</v>
      </c>
    </row>
    <row r="250" ht="16.300000000000001">
      <c r="B250" s="326" t="s">
        <v>925</v>
      </c>
      <c r="C250" s="327" t="s">
        <v>151</v>
      </c>
      <c r="D250" s="328">
        <v>76</v>
      </c>
      <c r="E250" s="329" t="s">
        <v>778</v>
      </c>
      <c r="F250" s="330"/>
      <c r="G250" s="330">
        <f>SUMIF('Объемы работ 2026'!$C$2:$C$152,'НЕ ТРАГАТЬ ДЛЯ ЗАПОЛНЕНИЯ!!!!!'!B250,'Объемы работ 2026'!$G$2:$G$152)</f>
        <v>0</v>
      </c>
      <c r="H250" s="330" t="str">
        <f t="shared" si="111"/>
        <v>шт.</v>
      </c>
      <c r="I250" s="306">
        <f t="shared" si="92"/>
        <v>1074.222</v>
      </c>
      <c r="J250" s="331">
        <v>1026</v>
      </c>
      <c r="K250" s="308">
        <f t="shared" ref="K250:K281" si="112">G250*I250</f>
        <v>0</v>
      </c>
      <c r="L250" s="21">
        <f>L105</f>
        <v>0.00158260643415379</v>
      </c>
      <c r="M250" s="22">
        <f>M105</f>
        <v>4382.7357371986027</v>
      </c>
      <c r="N250" s="22">
        <f>N105</f>
        <v>19946.327917198603</v>
      </c>
      <c r="P250" s="339" t="s">
        <v>926</v>
      </c>
    </row>
    <row r="251" ht="16.300000000000001">
      <c r="B251" s="326" t="s">
        <v>215</v>
      </c>
      <c r="C251" s="327" t="s">
        <v>151</v>
      </c>
      <c r="D251" s="328">
        <v>76</v>
      </c>
      <c r="E251" s="329" t="s">
        <v>766</v>
      </c>
      <c r="F251" s="330"/>
      <c r="G251" s="330">
        <f>SUMIF('Объемы работ 2026'!$C$2:$C$152,'НЕ ТРАГАТЬ ДЛЯ ЗАПОЛНЕНИЯ!!!!!'!B251,'Объемы работ 2026'!$G$2:$G$152)</f>
        <v>50</v>
      </c>
      <c r="H251" s="330" t="str">
        <f t="shared" si="111"/>
        <v>шт.</v>
      </c>
      <c r="I251" s="306">
        <f t="shared" si="92"/>
        <v>769.54499999999996</v>
      </c>
      <c r="J251" s="331">
        <v>735</v>
      </c>
      <c r="K251" s="308">
        <f t="shared" si="112"/>
        <v>38477.25</v>
      </c>
      <c r="L251" s="21">
        <f>L23+L106</f>
        <v>0.0014346254811807054</v>
      </c>
      <c r="M251" s="22">
        <f>M23+M106</f>
        <v>3972.9298644159453</v>
      </c>
      <c r="N251" s="22">
        <f>N23+N106</f>
        <v>18081.254864415943</v>
      </c>
      <c r="P251" s="339">
        <v>735</v>
      </c>
    </row>
    <row r="252" ht="16.300000000000001">
      <c r="B252" s="326" t="s">
        <v>927</v>
      </c>
      <c r="C252" s="327" t="s">
        <v>151</v>
      </c>
      <c r="D252" s="328">
        <v>57</v>
      </c>
      <c r="E252" s="329" t="s">
        <v>778</v>
      </c>
      <c r="F252" s="330"/>
      <c r="G252" s="330">
        <f>SUMIF('Объемы работ 2026'!$C$2:$C$152,'НЕ ТРАГАТЬ ДЛЯ ЗАПОЛНЕНИЯ!!!!!'!B252,'Объемы работ 2026'!$G$2:$G$152)</f>
        <v>0</v>
      </c>
      <c r="H252" s="330" t="str">
        <f t="shared" si="111"/>
        <v>шт.</v>
      </c>
      <c r="I252" s="306">
        <f t="shared" si="92"/>
        <v>984.17999999999995</v>
      </c>
      <c r="J252" s="331">
        <v>940</v>
      </c>
      <c r="K252" s="308">
        <f t="shared" si="112"/>
        <v>0</v>
      </c>
      <c r="L252" s="21">
        <f>L40</f>
        <v>0.00096777333016197513</v>
      </c>
      <c r="M252" s="22">
        <f>M40</f>
        <v>2680.0691998175103</v>
      </c>
      <c r="N252" s="22">
        <f>N40</f>
        <v>12197.299199817509</v>
      </c>
      <c r="P252" s="339">
        <v>940</v>
      </c>
    </row>
    <row r="253" ht="16.300000000000001">
      <c r="B253" s="326" t="s">
        <v>217</v>
      </c>
      <c r="C253" s="327" t="s">
        <v>151</v>
      </c>
      <c r="D253" s="341">
        <v>57</v>
      </c>
      <c r="E253" s="342" t="s">
        <v>766</v>
      </c>
      <c r="F253" s="330"/>
      <c r="G253" s="330">
        <f>SUMIF('Объемы работ 2026'!$C$2:$C$152,'НЕ ТРАГАТЬ ДЛЯ ЗАПОЛНЕНИЯ!!!!!'!B253,'Объемы работ 2026'!$G$2:$G$152)</f>
        <v>51</v>
      </c>
      <c r="H253" s="330" t="str">
        <f t="shared" si="111"/>
        <v>шт.</v>
      </c>
      <c r="I253" s="306">
        <f t="shared" si="92"/>
        <v>665.89199999999994</v>
      </c>
      <c r="J253" s="331">
        <v>636</v>
      </c>
      <c r="K253" s="308">
        <f t="shared" si="112"/>
        <v>33960.491999999998</v>
      </c>
      <c r="L253" s="21">
        <f>L24+L41+L107+L158+L180</f>
        <v>0.0024827804245739558</v>
      </c>
      <c r="M253" s="22">
        <f>M24+M41+M107+M158+M180</f>
        <v>6875.6010714790245</v>
      </c>
      <c r="N253" s="22">
        <f>N24+N41+N107+N158+N180</f>
        <v>31291.641071479025</v>
      </c>
      <c r="P253" s="339">
        <v>636</v>
      </c>
    </row>
    <row r="254" ht="16.300000000000001">
      <c r="B254" s="326" t="s">
        <v>928</v>
      </c>
      <c r="C254" s="327" t="s">
        <v>151</v>
      </c>
      <c r="D254" s="328">
        <v>45</v>
      </c>
      <c r="E254" s="329" t="s">
        <v>766</v>
      </c>
      <c r="F254" s="330"/>
      <c r="G254" s="330">
        <f>SUMIF('Объемы работ 2026'!$C$2:$C$152,'НЕ ТРАГАТЬ ДЛЯ ЗАПОЛНЕНИЯ!!!!!'!B254,'Объемы работ 2026'!$G$2:$G$152)</f>
        <v>0</v>
      </c>
      <c r="H254" s="330" t="str">
        <f>H159</f>
        <v>шт.</v>
      </c>
      <c r="I254" s="306">
        <f t="shared" si="92"/>
        <v>681.59699999999998</v>
      </c>
      <c r="J254" s="331">
        <v>651</v>
      </c>
      <c r="K254" s="308">
        <f t="shared" si="112"/>
        <v>0</v>
      </c>
      <c r="L254" s="21">
        <f>L159</f>
        <v>0.00046206119393872076</v>
      </c>
      <c r="M254" s="22">
        <f>M159</f>
        <v>1279.5929952924084</v>
      </c>
      <c r="N254" s="22">
        <f>N159</f>
        <v>5823.5729952924085</v>
      </c>
      <c r="P254" s="339">
        <v>651</v>
      </c>
    </row>
    <row r="255">
      <c r="B255" s="343" t="s">
        <v>929</v>
      </c>
      <c r="C255" s="344" t="s">
        <v>795</v>
      </c>
      <c r="D255" s="345">
        <v>200</v>
      </c>
      <c r="E255" s="330"/>
      <c r="F255" s="330"/>
      <c r="G255" s="330">
        <f>SUMIF('Объемы работ 2026'!$C$2:$C$152,'НЕ ТРАГАТЬ ДЛЯ ЗАПОЛНЕНИЯ!!!!!'!B255,'Объемы работ 2026'!$G$2:$G$152)</f>
        <v>0</v>
      </c>
      <c r="H255" s="346" t="s">
        <v>39</v>
      </c>
      <c r="I255" s="306">
        <f t="shared" si="92"/>
        <v>52585.574999999997</v>
      </c>
      <c r="J255" s="347">
        <v>50225</v>
      </c>
      <c r="K255" s="308">
        <f t="shared" si="112"/>
        <v>0</v>
      </c>
    </row>
    <row r="256">
      <c r="B256" s="344" t="s">
        <v>135</v>
      </c>
      <c r="C256" s="344" t="s">
        <v>771</v>
      </c>
      <c r="D256" s="330">
        <v>100</v>
      </c>
      <c r="E256" s="330"/>
      <c r="F256" s="330"/>
      <c r="G256" s="330">
        <f>SUMIF('Объемы работ 2026'!$C$2:$C$152,'НЕ ТРАГАТЬ ДЛЯ ЗАПОЛНЕНИЯ!!!!!'!B256,'Объемы работ 2026'!$G$2:$G$152)</f>
        <v>2</v>
      </c>
      <c r="H256" s="346" t="s">
        <v>39</v>
      </c>
      <c r="I256" s="306">
        <f t="shared" si="92"/>
        <v>26153.012999999999</v>
      </c>
      <c r="J256" s="348">
        <v>24979</v>
      </c>
      <c r="K256" s="308">
        <f t="shared" si="112"/>
        <v>52306.025999999998</v>
      </c>
      <c r="P256" s="349"/>
      <c r="S256" s="1">
        <v>21458.450000000001</v>
      </c>
      <c r="T256" s="1">
        <v>23301.200000000001</v>
      </c>
      <c r="Y256" s="1" t="s">
        <v>930</v>
      </c>
    </row>
    <row r="257">
      <c r="B257" s="344" t="s">
        <v>238</v>
      </c>
      <c r="C257" s="344" t="s">
        <v>771</v>
      </c>
      <c r="D257" s="330">
        <v>80</v>
      </c>
      <c r="E257" s="330"/>
      <c r="F257" s="330"/>
      <c r="G257" s="330">
        <f>SUMIF('Объемы работ 2026'!$C$2:$C$152,'НЕ ТРАГАТЬ ДЛЯ ЗАПОЛНЕНИЯ!!!!!'!B257,'Объемы работ 2026'!$G$2:$G$152)</f>
        <v>2</v>
      </c>
      <c r="H257" s="346" t="s">
        <v>39</v>
      </c>
      <c r="I257" s="306">
        <f t="shared" si="92"/>
        <v>11888.684999999999</v>
      </c>
      <c r="J257" s="348">
        <v>11355</v>
      </c>
      <c r="K257" s="308">
        <f t="shared" si="112"/>
        <v>23777.369999999999</v>
      </c>
      <c r="P257" s="349"/>
      <c r="S257" s="1">
        <v>12907.950000000001</v>
      </c>
      <c r="T257" s="1">
        <v>18442.700000000001</v>
      </c>
      <c r="Y257" s="1" t="s">
        <v>930</v>
      </c>
    </row>
    <row r="258">
      <c r="B258" s="344" t="s">
        <v>205</v>
      </c>
      <c r="C258" s="344" t="s">
        <v>771</v>
      </c>
      <c r="D258" s="345">
        <v>65</v>
      </c>
      <c r="E258" s="330"/>
      <c r="F258" s="330"/>
      <c r="G258" s="330">
        <f>SUMIF('Объемы работ 2026'!$C$2:$C$152,'НЕ ТРАГАТЬ ДЛЯ ЗАПОЛНЕНИЯ!!!!!'!B258,'Объемы работ 2026'!$G$2:$G$152)</f>
        <v>4</v>
      </c>
      <c r="H258" s="346" t="s">
        <v>39</v>
      </c>
      <c r="I258" s="306">
        <f t="shared" si="92"/>
        <v>7870.2989999999991</v>
      </c>
      <c r="J258" s="348">
        <v>7517</v>
      </c>
      <c r="K258" s="308">
        <f t="shared" si="112"/>
        <v>31481.195999999996</v>
      </c>
      <c r="P258" s="349"/>
      <c r="S258" s="1">
        <v>9783.7399999999998</v>
      </c>
      <c r="T258" s="1">
        <v>13668.5</v>
      </c>
    </row>
    <row r="259">
      <c r="B259" s="344" t="s">
        <v>206</v>
      </c>
      <c r="C259" s="344" t="s">
        <v>771</v>
      </c>
      <c r="D259" s="345">
        <v>50</v>
      </c>
      <c r="E259" s="330"/>
      <c r="F259" s="330"/>
      <c r="G259" s="330">
        <f>SUMIF('Объемы работ 2026'!$C$2:$C$152,'НЕ ТРАГАТЬ ДЛЯ ЗАПОЛНЕНИЯ!!!!!'!B259,'Объемы работ 2026'!$G$2:$G$152)</f>
        <v>4</v>
      </c>
      <c r="H259" s="346" t="s">
        <v>39</v>
      </c>
      <c r="I259" s="306">
        <f t="shared" si="92"/>
        <v>6238.0259999999998</v>
      </c>
      <c r="J259" s="348">
        <v>5958</v>
      </c>
      <c r="K259" s="308">
        <f t="shared" si="112"/>
        <v>24952.103999999999</v>
      </c>
      <c r="P259" s="349"/>
      <c r="S259" s="1">
        <v>6823.9499999999998</v>
      </c>
      <c r="T259" s="1">
        <v>8444.5</v>
      </c>
      <c r="Y259" s="1" t="s">
        <v>930</v>
      </c>
    </row>
    <row r="260">
      <c r="B260" s="344" t="s">
        <v>207</v>
      </c>
      <c r="C260" s="344" t="s">
        <v>771</v>
      </c>
      <c r="D260" s="345">
        <v>40</v>
      </c>
      <c r="E260" s="330"/>
      <c r="F260" s="330"/>
      <c r="G260" s="330">
        <f>SUMIF('Объемы работ 2026'!$C$2:$C$152,'НЕ ТРАГАТЬ ДЛЯ ЗАПОЛНЕНИЯ!!!!!'!B260,'Объемы работ 2026'!$G$2:$G$152)</f>
        <v>2</v>
      </c>
      <c r="H260" s="346" t="s">
        <v>39</v>
      </c>
      <c r="I260" s="306">
        <f t="shared" ref="I260:I281" si="113">J260*$J$2</f>
        <v>4374.366</v>
      </c>
      <c r="J260" s="348">
        <v>4178</v>
      </c>
      <c r="K260" s="308">
        <f t="shared" si="112"/>
        <v>8748.732</v>
      </c>
      <c r="P260" s="349"/>
      <c r="S260" s="1">
        <v>4686.3299999999999</v>
      </c>
      <c r="T260" s="1">
        <v>7510.8999999999996</v>
      </c>
      <c r="Y260" s="1" t="s">
        <v>930</v>
      </c>
    </row>
    <row r="261" ht="28.550000000000001">
      <c r="B261" s="344" t="s">
        <v>155</v>
      </c>
      <c r="C261" s="344" t="s">
        <v>155</v>
      </c>
      <c r="D261" s="330"/>
      <c r="E261" s="330"/>
      <c r="F261" s="330"/>
      <c r="G261" s="330">
        <f>SUMIF('Объемы работ 2026'!$C$2:$C$152,'НЕ ТРАГАТЬ ДЛЯ ЗАПОЛНЕНИЯ!!!!!'!B261,'Объемы работ 2026'!$G$2:$G$152)</f>
        <v>163.5</v>
      </c>
      <c r="H261" s="346" t="s">
        <v>156</v>
      </c>
      <c r="I261" s="306">
        <f t="shared" si="113"/>
        <v>8704.1716799999995</v>
      </c>
      <c r="J261" s="347">
        <v>8313.4400000000005</v>
      </c>
      <c r="K261" s="308">
        <f t="shared" si="112"/>
        <v>1423132.06968</v>
      </c>
    </row>
    <row r="262">
      <c r="B262" s="350" t="s">
        <v>136</v>
      </c>
      <c r="C262" s="351" t="s">
        <v>137</v>
      </c>
      <c r="D262" s="330"/>
      <c r="E262" s="330"/>
      <c r="F262" s="330"/>
      <c r="G262" s="330">
        <f>SUMIF('Объемы работ 2026'!$C$2:$C$152,'НЕ ТРАГАТЬ ДЛЯ ЗАПОЛНЕНИЯ!!!!!'!B262,'Объемы работ 2026'!$G$2:$G$152)</f>
        <v>46</v>
      </c>
      <c r="H262" s="346" t="s">
        <v>138</v>
      </c>
      <c r="I262" s="306">
        <f t="shared" si="113"/>
        <v>1063.752</v>
      </c>
      <c r="J262" s="348">
        <v>1016</v>
      </c>
      <c r="K262" s="308">
        <f t="shared" si="112"/>
        <v>48932.591999999997</v>
      </c>
    </row>
    <row r="263" ht="28.550000000000001">
      <c r="B263" s="350" t="s">
        <v>139</v>
      </c>
      <c r="C263" s="351" t="s">
        <v>140</v>
      </c>
      <c r="D263" s="330"/>
      <c r="E263" s="352" t="s">
        <v>774</v>
      </c>
      <c r="F263" s="330"/>
      <c r="G263" s="330">
        <f>SUMIF('Объемы работ 2026'!$C$2:$C$152,'НЕ ТРАГАТЬ ДЛЯ ЗАПОЛНЕНИЯ!!!!!'!B263,'Объемы работ 2026'!$G$2:$G$152)</f>
        <v>16</v>
      </c>
      <c r="H263" s="346" t="s">
        <v>141</v>
      </c>
      <c r="I263" s="306">
        <f t="shared" si="113"/>
        <v>2837.3699999999999</v>
      </c>
      <c r="J263" s="348">
        <v>2710</v>
      </c>
      <c r="K263" s="308">
        <f t="shared" si="112"/>
        <v>45397.919999999998</v>
      </c>
      <c r="S263" s="1">
        <v>3500</v>
      </c>
    </row>
    <row r="264">
      <c r="B264" s="344" t="s">
        <v>148</v>
      </c>
      <c r="C264" s="344" t="s">
        <v>775</v>
      </c>
      <c r="D264" s="330"/>
      <c r="E264" s="330"/>
      <c r="F264" s="330"/>
      <c r="G264" s="330">
        <f>SUMIF('Объемы работ 2026'!$C$2:$C$152,'НЕ ТРАГАТЬ ДЛЯ ЗАПОЛНЕНИЯ!!!!!'!B264,'Объемы работ 2026'!$G$2:$G$152)</f>
        <v>139</v>
      </c>
      <c r="H264" s="346" t="s">
        <v>39</v>
      </c>
      <c r="I264" s="306">
        <f t="shared" si="113"/>
        <v>120.40499999999999</v>
      </c>
      <c r="J264" s="348">
        <v>115</v>
      </c>
      <c r="K264" s="308">
        <f t="shared" si="112"/>
        <v>16736.294999999998</v>
      </c>
      <c r="S264" s="1">
        <v>118</v>
      </c>
      <c r="T264" s="1">
        <v>148</v>
      </c>
    </row>
    <row r="265">
      <c r="B265" s="344" t="s">
        <v>144</v>
      </c>
      <c r="C265" s="345" t="s">
        <v>145</v>
      </c>
      <c r="D265" s="345">
        <v>125</v>
      </c>
      <c r="E265" s="330"/>
      <c r="F265" s="330"/>
      <c r="G265" s="330">
        <f>SUMIF('Объемы работ 2026'!$C$2:$C$152,'НЕ ТРАГАТЬ ДЛЯ ЗАПОЛНЕНИЯ!!!!!'!B265,'Объемы работ 2026'!$G$2:$G$152)</f>
        <v>1601</v>
      </c>
      <c r="H265" s="346" t="s">
        <v>39</v>
      </c>
      <c r="I265" s="306">
        <f t="shared" si="113"/>
        <v>93.182999999999993</v>
      </c>
      <c r="J265" s="348">
        <v>89</v>
      </c>
      <c r="K265" s="308">
        <f t="shared" si="112"/>
        <v>149185.98299999998</v>
      </c>
      <c r="S265" s="1">
        <v>92</v>
      </c>
      <c r="T265" s="1">
        <v>99</v>
      </c>
    </row>
    <row r="266" ht="13.6" customHeight="1">
      <c r="B266" s="350" t="s">
        <v>146</v>
      </c>
      <c r="C266" s="345" t="s">
        <v>147</v>
      </c>
      <c r="D266" s="330"/>
      <c r="E266" s="330"/>
      <c r="F266" s="330"/>
      <c r="G266" s="330">
        <f>SUMIF('Объемы работ 2026'!$C$2:$C$152,'НЕ ТРАГАТЬ ДЛЯ ЗАПОЛНЕНИЯ!!!!!'!B266,'Объемы работ 2026'!$G$2:$G$152)</f>
        <v>547</v>
      </c>
      <c r="H266" s="346" t="s">
        <v>39</v>
      </c>
      <c r="I266" s="306">
        <f t="shared" si="113"/>
        <v>130.875</v>
      </c>
      <c r="J266" s="348">
        <v>125</v>
      </c>
      <c r="K266" s="308">
        <f t="shared" si="112"/>
        <v>71588.625</v>
      </c>
      <c r="S266" s="1">
        <v>148</v>
      </c>
      <c r="T266" s="1">
        <v>209</v>
      </c>
    </row>
    <row r="267">
      <c r="B267" s="344" t="s">
        <v>931</v>
      </c>
      <c r="C267" s="353" t="s">
        <v>779</v>
      </c>
      <c r="D267" s="330"/>
      <c r="E267" s="330"/>
      <c r="F267" s="330"/>
      <c r="G267" s="330">
        <f>SUMIF('Объемы работ 2026'!$C$2:$C$152,'НЕ ТРАГАТЬ ДЛЯ ЗАПОЛНЕНИЯ!!!!!'!B267,'Объемы работ 2026'!$G$2:$G$152)</f>
        <v>0</v>
      </c>
      <c r="H267" s="346" t="s">
        <v>781</v>
      </c>
      <c r="I267" s="306">
        <f t="shared" si="113"/>
        <v>577.25297999999998</v>
      </c>
      <c r="J267" s="347">
        <v>551.34000000000003</v>
      </c>
      <c r="K267" s="308">
        <f t="shared" si="112"/>
        <v>0</v>
      </c>
      <c r="S267" s="1">
        <v>1127.95</v>
      </c>
    </row>
    <row r="268">
      <c r="B268" s="344" t="s">
        <v>932</v>
      </c>
      <c r="C268" s="353" t="s">
        <v>782</v>
      </c>
      <c r="D268" s="330"/>
      <c r="E268" s="330"/>
      <c r="F268" s="330"/>
      <c r="G268" s="330">
        <f>SUMIF('Объемы работ 2026'!$C$2:$C$152,'НЕ ТРАГАТЬ ДЛЯ ЗАПОЛНЕНИЯ!!!!!'!B268,'Объемы работ 2026'!$G$2:$G$152)</f>
        <v>0</v>
      </c>
      <c r="H268" s="346" t="s">
        <v>784</v>
      </c>
      <c r="I268" s="306">
        <f t="shared" si="113"/>
        <v>2188.23</v>
      </c>
      <c r="J268" s="348">
        <v>2090</v>
      </c>
      <c r="K268" s="308">
        <f t="shared" si="112"/>
        <v>0</v>
      </c>
      <c r="S268" s="1">
        <v>2317</v>
      </c>
      <c r="T268" s="1">
        <v>2799</v>
      </c>
    </row>
    <row r="269">
      <c r="B269" s="350" t="s">
        <v>933</v>
      </c>
      <c r="C269" s="344" t="s">
        <v>767</v>
      </c>
      <c r="D269" s="330"/>
      <c r="E269" s="354" t="s">
        <v>769</v>
      </c>
      <c r="F269" s="330"/>
      <c r="G269" s="330">
        <f>SUMIF('Объемы работ 2026'!$C$2:$C$152,'НЕ ТРАГАТЬ ДЛЯ ЗАПОЛНЕНИЯ!!!!!'!B269,'Объемы работ 2026'!$G$2:$G$152)</f>
        <v>0</v>
      </c>
      <c r="H269" s="330" t="s">
        <v>39</v>
      </c>
      <c r="I269" s="306">
        <f t="shared" si="113"/>
        <v>544.43999999999994</v>
      </c>
      <c r="J269" s="347">
        <v>520</v>
      </c>
      <c r="K269" s="308">
        <f t="shared" si="112"/>
        <v>0</v>
      </c>
    </row>
    <row r="270">
      <c r="B270" s="350" t="s">
        <v>934</v>
      </c>
      <c r="C270" s="344" t="s">
        <v>767</v>
      </c>
      <c r="D270" s="330"/>
      <c r="E270" s="354" t="s">
        <v>769</v>
      </c>
      <c r="F270" s="330"/>
      <c r="G270" s="330">
        <f>SUMIF('Объемы работ 2026'!$C$2:$C$152,'НЕ ТРАГАТЬ ДЛЯ ЗАПОЛНЕНИЯ!!!!!'!B270,'Объемы работ 2026'!$G$2:$G$152)</f>
        <v>0</v>
      </c>
      <c r="H270" s="330" t="s">
        <v>39</v>
      </c>
      <c r="I270" s="306">
        <f t="shared" si="113"/>
        <v>616.68299999999999</v>
      </c>
      <c r="J270" s="347">
        <v>589</v>
      </c>
      <c r="K270" s="308">
        <f t="shared" si="112"/>
        <v>0</v>
      </c>
    </row>
    <row r="271">
      <c r="B271" s="350" t="s">
        <v>935</v>
      </c>
      <c r="C271" s="344" t="s">
        <v>767</v>
      </c>
      <c r="D271" s="330"/>
      <c r="E271" s="354" t="s">
        <v>769</v>
      </c>
      <c r="F271" s="330"/>
      <c r="G271" s="330">
        <f>SUMIF('Объемы работ 2026'!$C$2:$C$152,'НЕ ТРАГАТЬ ДЛЯ ЗАПОЛНЕНИЯ!!!!!'!B271,'Объемы работ 2026'!$G$2:$G$152)</f>
        <v>0</v>
      </c>
      <c r="H271" s="330" t="s">
        <v>39</v>
      </c>
      <c r="I271" s="306">
        <f t="shared" si="113"/>
        <v>5397.2849999999999</v>
      </c>
      <c r="J271" s="355">
        <v>5155</v>
      </c>
      <c r="K271" s="308">
        <f t="shared" si="112"/>
        <v>0</v>
      </c>
    </row>
    <row r="272">
      <c r="B272" s="350" t="s">
        <v>936</v>
      </c>
      <c r="C272" s="344" t="s">
        <v>767</v>
      </c>
      <c r="D272" s="330"/>
      <c r="E272" s="354" t="s">
        <v>769</v>
      </c>
      <c r="F272" s="330"/>
      <c r="G272" s="330">
        <f>SUMIF('Объемы работ 2026'!$C$2:$C$152,'НЕ ТРАГАТЬ ДЛЯ ЗАПОЛНЕНИЯ!!!!!'!B272,'Объемы работ 2026'!$G$2:$G$152)</f>
        <v>0</v>
      </c>
      <c r="H272" s="330" t="s">
        <v>39</v>
      </c>
      <c r="I272" s="306">
        <f t="shared" si="113"/>
        <v>2169.384</v>
      </c>
      <c r="J272" s="347">
        <v>2072</v>
      </c>
      <c r="K272" s="308">
        <f t="shared" si="112"/>
        <v>0</v>
      </c>
    </row>
    <row r="273">
      <c r="B273" s="350" t="s">
        <v>937</v>
      </c>
      <c r="C273" s="344" t="s">
        <v>767</v>
      </c>
      <c r="D273" s="330"/>
      <c r="E273" s="354" t="s">
        <v>769</v>
      </c>
      <c r="F273" s="330"/>
      <c r="G273" s="330">
        <f>SUMIF('Объемы работ 2026'!$C$2:$C$152,'НЕ ТРАГАТЬ ДЛЯ ЗАПОЛНЕНИЯ!!!!!'!B273,'Объемы работ 2026'!$G$2:$G$152)</f>
        <v>0</v>
      </c>
      <c r="H273" s="330" t="s">
        <v>39</v>
      </c>
      <c r="I273" s="306">
        <f t="shared" si="113"/>
        <v>981.03899999999999</v>
      </c>
      <c r="J273" s="355">
        <v>937</v>
      </c>
      <c r="K273" s="308">
        <f t="shared" si="112"/>
        <v>0</v>
      </c>
    </row>
    <row r="274">
      <c r="B274" s="350" t="s">
        <v>938</v>
      </c>
      <c r="C274" s="344" t="s">
        <v>767</v>
      </c>
      <c r="D274" s="330"/>
      <c r="E274" s="354" t="s">
        <v>769</v>
      </c>
      <c r="F274" s="330"/>
      <c r="G274" s="330">
        <f>SUMIF('Объемы работ 2026'!$C$2:$C$152,'НЕ ТРАГАТЬ ДЛЯ ЗАПОЛНЕНИЯ!!!!!'!B274,'Объемы работ 2026'!$G$2:$G$152)</f>
        <v>0</v>
      </c>
      <c r="H274" s="330" t="s">
        <v>39</v>
      </c>
      <c r="I274" s="306">
        <f t="shared" si="113"/>
        <v>1155.8879999999999</v>
      </c>
      <c r="J274" s="347">
        <v>1104</v>
      </c>
      <c r="K274" s="308">
        <f t="shared" si="112"/>
        <v>0</v>
      </c>
    </row>
    <row r="275">
      <c r="B275" s="350" t="s">
        <v>939</v>
      </c>
      <c r="C275" s="344" t="s">
        <v>767</v>
      </c>
      <c r="D275" s="330"/>
      <c r="E275" s="354" t="s">
        <v>769</v>
      </c>
      <c r="F275" s="330"/>
      <c r="G275" s="330">
        <f>SUMIF('Объемы работ 2026'!$C$2:$C$152,'НЕ ТРАГАТЬ ДЛЯ ЗАПОЛНЕНИЯ!!!!!'!B275,'Объемы работ 2026'!$G$2:$G$152)</f>
        <v>0</v>
      </c>
      <c r="H275" s="330" t="s">
        <v>39</v>
      </c>
      <c r="I275" s="306">
        <f t="shared" si="113"/>
        <v>1405.0739999999998</v>
      </c>
      <c r="J275" s="347">
        <v>1342</v>
      </c>
      <c r="K275" s="308">
        <f t="shared" si="112"/>
        <v>0</v>
      </c>
    </row>
    <row r="276" ht="28.550000000000001">
      <c r="B276" s="344" t="s">
        <v>154</v>
      </c>
      <c r="C276" s="344" t="s">
        <v>154</v>
      </c>
      <c r="D276" s="330"/>
      <c r="E276" s="330"/>
      <c r="F276" s="330"/>
      <c r="G276" s="330">
        <f>SUMIF('Объемы работ 2026'!$C$2:$C$152,'НЕ ТРАГАТЬ ДЛЯ ЗАПОЛНЕНИЯ!!!!!'!B276,'Объемы работ 2026'!$G$2:$G$152)</f>
        <v>5</v>
      </c>
      <c r="H276" s="346" t="s">
        <v>39</v>
      </c>
      <c r="I276" s="306">
        <f t="shared" si="113"/>
        <v>74127.599999999991</v>
      </c>
      <c r="J276" s="347">
        <v>70800</v>
      </c>
      <c r="K276" s="308">
        <f t="shared" si="112"/>
        <v>370637.99999999994</v>
      </c>
    </row>
    <row r="277">
      <c r="B277" s="344" t="s">
        <v>940</v>
      </c>
      <c r="C277" s="344" t="s">
        <v>790</v>
      </c>
      <c r="D277" s="330"/>
      <c r="E277" s="330"/>
      <c r="F277" s="330"/>
      <c r="G277" s="330">
        <f>SUMIF('Объемы работ 2026'!$C$2:$C$152,'НЕ ТРАГАТЬ ДЛЯ ЗАПОЛНЕНИЯ!!!!!'!B277,'Объемы работ 2026'!$G$2:$G$152)</f>
        <v>0</v>
      </c>
      <c r="H277" s="346" t="s">
        <v>39</v>
      </c>
      <c r="I277" s="306">
        <f t="shared" si="113"/>
        <v>157.04999999999998</v>
      </c>
      <c r="J277" s="355">
        <v>150</v>
      </c>
      <c r="K277" s="308">
        <f t="shared" si="112"/>
        <v>0</v>
      </c>
    </row>
    <row r="278">
      <c r="B278" s="344" t="s">
        <v>941</v>
      </c>
      <c r="C278" s="344" t="s">
        <v>797</v>
      </c>
      <c r="D278" s="330"/>
      <c r="E278" s="330"/>
      <c r="F278" s="330"/>
      <c r="G278" s="330">
        <f>SUMIF('Объемы работ 2026'!$C$2:$C$152,'НЕ ТРАГАТЬ ДЛЯ ЗАПОЛНЕНИЯ!!!!!'!B278,'Объемы работ 2026'!$G$2:$G$152)</f>
        <v>0</v>
      </c>
      <c r="H278" s="346" t="s">
        <v>39</v>
      </c>
      <c r="I278" s="306">
        <f t="shared" si="113"/>
        <v>9674.2799999999988</v>
      </c>
      <c r="J278" s="347">
        <v>9240</v>
      </c>
      <c r="K278" s="308">
        <f t="shared" si="112"/>
        <v>0</v>
      </c>
    </row>
    <row r="279">
      <c r="B279" s="344" t="s">
        <v>142</v>
      </c>
      <c r="C279" s="356" t="s">
        <v>75</v>
      </c>
      <c r="D279" s="345">
        <v>3.2000000000000002</v>
      </c>
      <c r="E279" s="330"/>
      <c r="F279" s="330"/>
      <c r="G279" s="330">
        <f>SUMIF('Объемы работ 2026'!$C$2:$C$152,'НЕ ТРАГАТЬ ДЛЯ ЗАПОЛНЕНИЯ!!!!!'!B279,'Объемы работ 2026'!$G$2:$G$152)</f>
        <v>407</v>
      </c>
      <c r="H279" s="346" t="s">
        <v>76</v>
      </c>
      <c r="I279" s="306">
        <f t="shared" si="113"/>
        <v>593.3034899999999</v>
      </c>
      <c r="J279" s="348">
        <v>566.66999999999996</v>
      </c>
      <c r="K279" s="308">
        <f t="shared" si="112"/>
        <v>241474.52042999995</v>
      </c>
      <c r="S279" s="1">
        <f>3500/4.5</f>
        <v>777.77777777777783</v>
      </c>
      <c r="T279" s="1">
        <f>2550/4.5</f>
        <v>566.66666666666663</v>
      </c>
    </row>
    <row r="280">
      <c r="B280" s="344" t="s">
        <v>143</v>
      </c>
      <c r="C280" s="356" t="s">
        <v>75</v>
      </c>
      <c r="D280" s="345">
        <v>2.5</v>
      </c>
      <c r="E280" s="330"/>
      <c r="F280" s="330"/>
      <c r="G280" s="330">
        <f>SUMIF('Объемы работ 2026'!$C$2:$C$152,'НЕ ТРАГАТЬ ДЛЯ ЗАПОЛНЕНИЯ!!!!!'!B280,'Объемы работ 2026'!$G$2:$G$152)</f>
        <v>391</v>
      </c>
      <c r="H280" s="346" t="s">
        <v>76</v>
      </c>
      <c r="I280" s="306">
        <f t="shared" si="113"/>
        <v>672.41480999999999</v>
      </c>
      <c r="J280" s="348">
        <v>642.23000000000002</v>
      </c>
      <c r="K280" s="308">
        <f t="shared" si="112"/>
        <v>262914.19071</v>
      </c>
      <c r="S280" s="1">
        <f>5070/4.5</f>
        <v>1126.6666666666667</v>
      </c>
      <c r="T280" s="1">
        <f>2890/4.5</f>
        <v>642.22222222222217</v>
      </c>
    </row>
    <row r="281">
      <c r="B281" s="1" t="s">
        <v>157</v>
      </c>
      <c r="G281" s="1">
        <v>1</v>
      </c>
      <c r="I281" s="306">
        <f t="shared" si="113"/>
        <v>2769315</v>
      </c>
      <c r="J281" s="1">
        <v>2645000</v>
      </c>
      <c r="K281" s="308">
        <f t="shared" si="112"/>
        <v>2769315</v>
      </c>
    </row>
  </sheetData>
  <autoFilter ref="A3:P281"/>
  <mergeCells count="1">
    <mergeCell ref="B1:H1"/>
  </mergeCells>
  <hyperlinks>
    <hyperlink r:id="rId1" ref="B186"/>
    <hyperlink r:id="rId2" ref="B187"/>
    <hyperlink r:id="rId3" ref="B188"/>
    <hyperlink r:id="rId4" ref="B189"/>
    <hyperlink r:id="rId5" ref="B190"/>
    <hyperlink r:id="rId6" ref="B191"/>
    <hyperlink r:id="rId7" ref="B192"/>
    <hyperlink r:id="rId8" ref="B193"/>
    <hyperlink r:id="rId9" ref="B194"/>
    <hyperlink r:id="rId10" ref="B195"/>
    <hyperlink r:id="rId11" ref="B196"/>
    <hyperlink r:id="rId12" ref="B197"/>
    <hyperlink r:id="rId13" ref="B198"/>
    <hyperlink r:id="rId14" ref="B199"/>
    <hyperlink r:id="rId15" ref="B200"/>
    <hyperlink r:id="rId16" ref="B201"/>
    <hyperlink r:id="rId16" ref="B202"/>
    <hyperlink r:id="rId17" ref="B203"/>
    <hyperlink r:id="rId17" ref="B204"/>
    <hyperlink r:id="rId18" ref="B205"/>
    <hyperlink r:id="rId19" ref="B206"/>
    <hyperlink r:id="rId19" ref="B207"/>
    <hyperlink r:id="rId20" ref="B208"/>
    <hyperlink r:id="rId20" ref="B209"/>
    <hyperlink r:id="rId21" ref="B210"/>
    <hyperlink r:id="rId22" ref="B211"/>
    <hyperlink r:id="rId22" ref="B212"/>
    <hyperlink r:id="rId23" ref="B213"/>
    <hyperlink r:id="rId24" ref="B214"/>
    <hyperlink r:id="rId25" ref="B215"/>
    <hyperlink r:id="rId26" ref="B216"/>
    <hyperlink r:id="rId27" ref="B217"/>
    <hyperlink r:id="rId28" ref="B218"/>
    <hyperlink r:id="rId29" ref="B219"/>
    <hyperlink r:id="rId30" ref="B220"/>
    <hyperlink r:id="rId31" ref="B221"/>
    <hyperlink r:id="rId32" ref="B222"/>
    <hyperlink r:id="rId33" ref="B223"/>
    <hyperlink r:id="rId34" ref="B224"/>
    <hyperlink r:id="rId35" ref="B225"/>
    <hyperlink r:id="rId36" ref="B226"/>
    <hyperlink r:id="rId37" ref="B227"/>
    <hyperlink r:id="rId38" ref="B228"/>
    <hyperlink r:id="rId39" ref="B229"/>
    <hyperlink r:id="rId40" ref="B230"/>
    <hyperlink r:id="rId41" ref="B231"/>
    <hyperlink r:id="rId42" ref="B232"/>
    <hyperlink r:id="rId43" ref="B233"/>
    <hyperlink r:id="rId44" ref="B234"/>
    <hyperlink r:id="rId45" ref="B235"/>
    <hyperlink r:id="rId46" ref="B236"/>
    <hyperlink r:id="rId47" ref="B237"/>
    <hyperlink r:id="rId48" ref="B238"/>
    <hyperlink r:id="rId49" ref="B239"/>
    <hyperlink r:id="rId50" ref="B240"/>
    <hyperlink r:id="rId51" ref="B241"/>
    <hyperlink r:id="rId52" ref="B242"/>
    <hyperlink r:id="rId53" ref="B243"/>
    <hyperlink r:id="rId54" ref="B244"/>
    <hyperlink r:id="rId55" ref="B245"/>
    <hyperlink r:id="rId56" ref="B246"/>
    <hyperlink r:id="rId57" ref="B247"/>
    <hyperlink r:id="rId58" ref="B248"/>
    <hyperlink r:id="rId59" ref="B249"/>
    <hyperlink r:id="rId60" ref="B250"/>
    <hyperlink r:id="rId61" ref="B251"/>
    <hyperlink r:id="rId62" ref="B252"/>
    <hyperlink r:id="rId63" ref="B253"/>
    <hyperlink r:id="rId64" ref="B254"/>
  </hyperlink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0B050"/>
    <outlinePr applyStyles="0" summaryBelow="1" summaryRight="1" showOutlineSymbols="1"/>
    <pageSetUpPr autoPageBreaks="1" fitToPage="0"/>
  </sheetPr>
  <sheetViews>
    <sheetView topLeftCell="B100" zoomScale="100" workbookViewId="0">
      <selection activeCell="J112" activeCellId="0" sqref="J112"/>
    </sheetView>
  </sheetViews>
  <sheetFormatPr defaultColWidth="9.125" defaultRowHeight="12.75"/>
  <cols>
    <col customWidth="1" hidden="1" min="1" max="1" style="23" width="9.125"/>
    <col customWidth="1" min="2" max="2" style="23" width="11.375"/>
    <col customWidth="1" min="3" max="3" style="24" width="12.25"/>
    <col customWidth="1" min="4" max="4" style="23" width="11.75"/>
    <col customWidth="1" min="5" max="5" style="25" width="15.375"/>
    <col customWidth="1" min="6" max="6" style="25" width="8.625"/>
    <col customWidth="1" min="7" max="7" style="25" width="15.375"/>
    <col min="8" max="8" style="23" width="9.125"/>
    <col customWidth="1" min="9" max="9" style="23" width="9.125"/>
    <col customWidth="1" min="10" max="10" style="23" width="13.875"/>
    <col customWidth="1" min="11" max="12" style="23" width="9.125"/>
    <col customWidth="1" min="13" max="13" style="23" width="10.75"/>
    <col customWidth="1" min="14" max="16" style="23" width="11.25"/>
    <col customWidth="1" min="17" max="17" style="26" width="11.875"/>
    <col customWidth="1" min="18" max="19" style="23" width="9.125"/>
    <col customWidth="1" min="20" max="20" style="23" width="14.875"/>
    <col customWidth="1" min="21" max="21" style="23" width="11"/>
    <col customWidth="1" min="22" max="22" style="23" width="13.875"/>
    <col min="23" max="16384" style="23" width="9.125"/>
  </cols>
  <sheetData>
    <row r="1">
      <c r="Q1" s="27"/>
    </row>
    <row r="3" ht="27.699999999999999" customHeight="1">
      <c r="B3" s="28" t="s">
        <v>18</v>
      </c>
      <c r="C3" s="29" t="s">
        <v>19</v>
      </c>
      <c r="D3" s="30" t="s">
        <v>20</v>
      </c>
      <c r="E3" s="31" t="s">
        <v>21</v>
      </c>
      <c r="F3" s="31" t="s">
        <v>22</v>
      </c>
      <c r="G3" s="31" t="s">
        <v>23</v>
      </c>
      <c r="H3" s="28"/>
      <c r="I3" s="28" t="s">
        <v>24</v>
      </c>
      <c r="J3" s="28" t="s">
        <v>25</v>
      </c>
      <c r="K3" s="28" t="s">
        <v>26</v>
      </c>
      <c r="L3" s="28"/>
      <c r="M3" s="28"/>
      <c r="N3" s="28" t="s">
        <v>27</v>
      </c>
      <c r="O3" s="32" t="s">
        <v>28</v>
      </c>
      <c r="P3" s="32"/>
      <c r="Q3" s="28" t="s">
        <v>29</v>
      </c>
      <c r="R3" s="28"/>
      <c r="S3" s="28"/>
      <c r="T3" s="28" t="s">
        <v>30</v>
      </c>
      <c r="V3" s="25" t="s">
        <v>31</v>
      </c>
    </row>
    <row r="4" ht="27.199999999999999">
      <c r="A4" s="23" t="str">
        <f t="shared" ref="A4:A48" si="2">D4&amp;E4&amp;H4</f>
        <v xml:space="preserve">труба219ППУ ПЭ</v>
      </c>
      <c r="B4" s="28">
        <v>2023</v>
      </c>
      <c r="C4" s="29" t="s">
        <v>32</v>
      </c>
      <c r="D4" s="30" t="s">
        <v>33</v>
      </c>
      <c r="E4" s="31">
        <v>219</v>
      </c>
      <c r="F4" s="31">
        <v>315</v>
      </c>
      <c r="G4" s="31"/>
      <c r="H4" s="28" t="s">
        <v>34</v>
      </c>
      <c r="I4" s="28" t="s">
        <v>35</v>
      </c>
      <c r="J4" s="33">
        <v>596</v>
      </c>
      <c r="K4" s="34">
        <v>596</v>
      </c>
      <c r="L4" s="28"/>
      <c r="M4" s="28"/>
      <c r="N4" s="35">
        <v>5110</v>
      </c>
      <c r="O4" s="36">
        <f t="shared" ref="O4:O41" si="3">N4/1.2</f>
        <v>4258.3333333333339</v>
      </c>
      <c r="P4" s="36"/>
      <c r="Q4" s="37">
        <f t="shared" ref="Q4:Q67" si="4">O4*1.06</f>
        <v>4513.8333333333339</v>
      </c>
      <c r="R4" s="37"/>
      <c r="S4" s="37"/>
      <c r="T4" s="37">
        <f t="shared" ref="T4:T67" si="5">Q4*J4</f>
        <v>2690244.666666667</v>
      </c>
      <c r="V4" s="38">
        <f t="shared" ref="V4:V67" si="6">ROUND(Q4*K4,2)</f>
        <v>2690244.6699999999</v>
      </c>
      <c r="X4" s="38">
        <f t="shared" ref="X4:X67" si="7">T4-V4</f>
        <v>-0.0033333329483866692</v>
      </c>
    </row>
    <row r="5" ht="27.199999999999999">
      <c r="A5" s="23" t="str">
        <f t="shared" si="2"/>
        <v xml:space="preserve">труба108ППУ ПЭ</v>
      </c>
      <c r="B5" s="28">
        <v>2023</v>
      </c>
      <c r="C5" s="29" t="s">
        <v>32</v>
      </c>
      <c r="D5" s="30" t="s">
        <v>33</v>
      </c>
      <c r="E5" s="31">
        <v>108</v>
      </c>
      <c r="F5" s="31">
        <v>180</v>
      </c>
      <c r="G5" s="31"/>
      <c r="H5" s="28" t="s">
        <v>34</v>
      </c>
      <c r="I5" s="28" t="s">
        <v>35</v>
      </c>
      <c r="J5" s="33">
        <f>546-340</f>
        <v>206</v>
      </c>
      <c r="K5" s="34">
        <v>206</v>
      </c>
      <c r="L5" s="28"/>
      <c r="M5" s="28"/>
      <c r="N5" s="35">
        <v>1826</v>
      </c>
      <c r="O5" s="36">
        <f t="shared" si="3"/>
        <v>1521.6666666666667</v>
      </c>
      <c r="P5" s="36"/>
      <c r="Q5" s="37">
        <f t="shared" si="4"/>
        <v>1612.9666666666669</v>
      </c>
      <c r="R5" s="37"/>
      <c r="S5" s="37"/>
      <c r="T5" s="37">
        <f t="shared" si="5"/>
        <v>332271.13333333336</v>
      </c>
      <c r="V5" s="38">
        <f t="shared" si="6"/>
        <v>332271.13</v>
      </c>
      <c r="X5" s="38">
        <f t="shared" si="7"/>
        <v>0.0033333333558402956</v>
      </c>
    </row>
    <row r="6" ht="27.199999999999999">
      <c r="A6" s="23" t="str">
        <f t="shared" si="2"/>
        <v xml:space="preserve">труба89ППУ ПЭ</v>
      </c>
      <c r="B6" s="28">
        <v>2023</v>
      </c>
      <c r="C6" s="29" t="s">
        <v>32</v>
      </c>
      <c r="D6" s="30" t="s">
        <v>33</v>
      </c>
      <c r="E6" s="31">
        <v>89</v>
      </c>
      <c r="F6" s="31">
        <v>160</v>
      </c>
      <c r="G6" s="31"/>
      <c r="H6" s="28" t="s">
        <v>34</v>
      </c>
      <c r="I6" s="28" t="s">
        <v>35</v>
      </c>
      <c r="J6" s="28">
        <v>10</v>
      </c>
      <c r="K6" s="34">
        <v>10</v>
      </c>
      <c r="L6" s="28"/>
      <c r="M6" s="28"/>
      <c r="N6" s="35">
        <v>1620</v>
      </c>
      <c r="O6" s="36">
        <f t="shared" si="3"/>
        <v>1350</v>
      </c>
      <c r="P6" s="36"/>
      <c r="Q6" s="37">
        <f t="shared" si="4"/>
        <v>1431</v>
      </c>
      <c r="R6" s="37"/>
      <c r="S6" s="37"/>
      <c r="T6" s="37">
        <f t="shared" si="5"/>
        <v>14310</v>
      </c>
      <c r="V6" s="38">
        <f t="shared" si="6"/>
        <v>14310</v>
      </c>
      <c r="X6" s="38">
        <f t="shared" si="7"/>
        <v>0</v>
      </c>
    </row>
    <row r="7" ht="27.199999999999999">
      <c r="A7" s="23" t="str">
        <f t="shared" si="2"/>
        <v xml:space="preserve">труба76ППУ ПЭ</v>
      </c>
      <c r="B7" s="28">
        <v>2023</v>
      </c>
      <c r="C7" s="29" t="s">
        <v>32</v>
      </c>
      <c r="D7" s="30" t="s">
        <v>33</v>
      </c>
      <c r="E7" s="31">
        <v>76</v>
      </c>
      <c r="F7" s="31">
        <v>140</v>
      </c>
      <c r="G7" s="31"/>
      <c r="H7" s="28" t="s">
        <v>34</v>
      </c>
      <c r="I7" s="28" t="s">
        <v>35</v>
      </c>
      <c r="J7" s="28">
        <v>198</v>
      </c>
      <c r="K7" s="34">
        <v>198</v>
      </c>
      <c r="L7" s="28"/>
      <c r="M7" s="28"/>
      <c r="N7" s="35">
        <v>1227</v>
      </c>
      <c r="O7" s="36">
        <f t="shared" si="3"/>
        <v>1022.5</v>
      </c>
      <c r="P7" s="36"/>
      <c r="Q7" s="37">
        <f t="shared" si="4"/>
        <v>1083.8500000000001</v>
      </c>
      <c r="R7" s="37"/>
      <c r="S7" s="37"/>
      <c r="T7" s="37">
        <f t="shared" si="5"/>
        <v>214602.30000000002</v>
      </c>
      <c r="V7" s="38">
        <f t="shared" si="6"/>
        <v>214602.29999999999</v>
      </c>
      <c r="X7" s="38">
        <f t="shared" si="7"/>
        <v>0</v>
      </c>
    </row>
    <row r="8" ht="40.75">
      <c r="A8" s="23" t="str">
        <f t="shared" si="2"/>
        <v xml:space="preserve">отводы219ППУ ОЦ</v>
      </c>
      <c r="B8" s="28">
        <v>2023</v>
      </c>
      <c r="C8" s="29" t="s">
        <v>32</v>
      </c>
      <c r="D8" s="30" t="s">
        <v>36</v>
      </c>
      <c r="E8" s="31">
        <v>219</v>
      </c>
      <c r="F8" s="31">
        <v>315</v>
      </c>
      <c r="G8" s="31" t="s">
        <v>37</v>
      </c>
      <c r="H8" s="28" t="s">
        <v>38</v>
      </c>
      <c r="I8" s="28" t="s">
        <v>39</v>
      </c>
      <c r="J8" s="28">
        <v>10</v>
      </c>
      <c r="K8" s="39">
        <v>0</v>
      </c>
      <c r="L8" s="28"/>
      <c r="M8" s="28"/>
      <c r="N8" s="35">
        <v>9500</v>
      </c>
      <c r="O8" s="36">
        <f t="shared" si="3"/>
        <v>7916.666666666667</v>
      </c>
      <c r="P8" s="36"/>
      <c r="Q8" s="37">
        <f t="shared" si="4"/>
        <v>8391.6666666666679</v>
      </c>
      <c r="R8" s="37"/>
      <c r="S8" s="37"/>
      <c r="T8" s="37">
        <f t="shared" si="5"/>
        <v>83916.666666666686</v>
      </c>
      <c r="V8" s="38">
        <f t="shared" si="6"/>
        <v>0</v>
      </c>
      <c r="X8" s="38">
        <f t="shared" si="7"/>
        <v>83916.666666666686</v>
      </c>
    </row>
    <row r="9" ht="40.75">
      <c r="A9" s="23" t="str">
        <f t="shared" si="2"/>
        <v xml:space="preserve">отводы219ППУ ПЭ</v>
      </c>
      <c r="B9" s="28">
        <v>2023</v>
      </c>
      <c r="C9" s="29" t="s">
        <v>32</v>
      </c>
      <c r="D9" s="30" t="s">
        <v>36</v>
      </c>
      <c r="E9" s="31">
        <v>219</v>
      </c>
      <c r="F9" s="31">
        <v>315</v>
      </c>
      <c r="G9" s="31" t="s">
        <v>40</v>
      </c>
      <c r="H9" s="28" t="s">
        <v>34</v>
      </c>
      <c r="I9" s="28" t="s">
        <v>39</v>
      </c>
      <c r="J9" s="28">
        <v>40</v>
      </c>
      <c r="K9" s="39">
        <v>50</v>
      </c>
      <c r="L9" s="28"/>
      <c r="M9" s="28"/>
      <c r="N9" s="35">
        <v>9500</v>
      </c>
      <c r="O9" s="36">
        <f t="shared" si="3"/>
        <v>7916.666666666667</v>
      </c>
      <c r="P9" s="36"/>
      <c r="Q9" s="37">
        <f t="shared" si="4"/>
        <v>8391.6666666666679</v>
      </c>
      <c r="R9" s="37"/>
      <c r="S9" s="37"/>
      <c r="T9" s="37">
        <f t="shared" si="5"/>
        <v>335666.66666666674</v>
      </c>
      <c r="V9" s="38">
        <f t="shared" si="6"/>
        <v>419583.33000000002</v>
      </c>
      <c r="X9" s="38">
        <f t="shared" si="7"/>
        <v>-83916.663333333272</v>
      </c>
    </row>
    <row r="10" ht="27.199999999999999">
      <c r="A10" s="23" t="str">
        <f t="shared" si="2"/>
        <v xml:space="preserve">отводы219 (45º)ППУ ПЭ</v>
      </c>
      <c r="B10" s="28">
        <v>2023</v>
      </c>
      <c r="C10" s="29" t="s">
        <v>32</v>
      </c>
      <c r="D10" s="30" t="s">
        <v>36</v>
      </c>
      <c r="E10" s="31" t="s">
        <v>41</v>
      </c>
      <c r="F10" s="31">
        <v>315</v>
      </c>
      <c r="G10" s="31" t="s">
        <v>42</v>
      </c>
      <c r="H10" s="28" t="s">
        <v>34</v>
      </c>
      <c r="I10" s="28" t="s">
        <v>39</v>
      </c>
      <c r="J10" s="28">
        <v>4</v>
      </c>
      <c r="K10" s="39">
        <v>0</v>
      </c>
      <c r="L10" s="28"/>
      <c r="M10" s="28"/>
      <c r="N10" s="35">
        <v>9500</v>
      </c>
      <c r="O10" s="36">
        <f t="shared" si="3"/>
        <v>7916.666666666667</v>
      </c>
      <c r="P10" s="36"/>
      <c r="Q10" s="37">
        <f t="shared" si="4"/>
        <v>8391.6666666666679</v>
      </c>
      <c r="R10" s="37"/>
      <c r="S10" s="37"/>
      <c r="T10" s="37">
        <f t="shared" si="5"/>
        <v>33566.666666666672</v>
      </c>
      <c r="V10" s="38">
        <f t="shared" si="6"/>
        <v>0</v>
      </c>
      <c r="X10" s="38">
        <f t="shared" si="7"/>
        <v>33566.666666666672</v>
      </c>
    </row>
    <row r="11" ht="27.199999999999999">
      <c r="A11" s="23" t="str">
        <f t="shared" si="2"/>
        <v xml:space="preserve">отводы108ППУ ОЦ</v>
      </c>
      <c r="B11" s="28">
        <v>2023</v>
      </c>
      <c r="C11" s="29" t="s">
        <v>32</v>
      </c>
      <c r="D11" s="30" t="s">
        <v>36</v>
      </c>
      <c r="E11" s="31">
        <v>108</v>
      </c>
      <c r="F11" s="31">
        <v>180</v>
      </c>
      <c r="G11" s="31" t="s">
        <v>42</v>
      </c>
      <c r="H11" s="28" t="s">
        <v>38</v>
      </c>
      <c r="I11" s="28" t="s">
        <v>39</v>
      </c>
      <c r="J11" s="33">
        <f>30-2</f>
        <v>28</v>
      </c>
      <c r="K11" s="34">
        <v>4</v>
      </c>
      <c r="L11" s="28"/>
      <c r="M11" s="28"/>
      <c r="N11" s="35">
        <v>3000</v>
      </c>
      <c r="O11" s="36">
        <f t="shared" si="3"/>
        <v>2500</v>
      </c>
      <c r="P11" s="36"/>
      <c r="Q11" s="37">
        <f t="shared" si="4"/>
        <v>2650</v>
      </c>
      <c r="R11" s="37"/>
      <c r="S11" s="37"/>
      <c r="T11" s="37">
        <f t="shared" si="5"/>
        <v>74200</v>
      </c>
      <c r="V11" s="38">
        <f t="shared" si="6"/>
        <v>10600</v>
      </c>
      <c r="X11" s="38">
        <f t="shared" si="7"/>
        <v>63600</v>
      </c>
    </row>
    <row r="12" ht="27.199999999999999">
      <c r="A12" s="23" t="str">
        <f t="shared" si="2"/>
        <v xml:space="preserve">отводы108ППУ ПЭ</v>
      </c>
      <c r="B12" s="28">
        <v>2023</v>
      </c>
      <c r="C12" s="29" t="s">
        <v>32</v>
      </c>
      <c r="D12" s="30" t="s">
        <v>36</v>
      </c>
      <c r="E12" s="31">
        <v>108</v>
      </c>
      <c r="F12" s="31">
        <v>180</v>
      </c>
      <c r="G12" s="31"/>
      <c r="H12" s="28" t="s">
        <v>34</v>
      </c>
      <c r="I12" s="28" t="s">
        <v>39</v>
      </c>
      <c r="J12" s="33">
        <f>48-14</f>
        <v>34</v>
      </c>
      <c r="K12" s="34">
        <v>34</v>
      </c>
      <c r="L12" s="28"/>
      <c r="M12" s="28"/>
      <c r="N12" s="35">
        <v>3000</v>
      </c>
      <c r="O12" s="36">
        <f t="shared" si="3"/>
        <v>2500</v>
      </c>
      <c r="P12" s="36"/>
      <c r="Q12" s="37">
        <f t="shared" si="4"/>
        <v>2650</v>
      </c>
      <c r="R12" s="37"/>
      <c r="S12" s="37"/>
      <c r="T12" s="37">
        <f t="shared" si="5"/>
        <v>90100</v>
      </c>
      <c r="V12" s="38">
        <f t="shared" si="6"/>
        <v>90100</v>
      </c>
      <c r="X12" s="38">
        <f t="shared" si="7"/>
        <v>0</v>
      </c>
    </row>
    <row r="13" ht="27.199999999999999">
      <c r="A13" s="23" t="str">
        <f t="shared" si="2"/>
        <v xml:space="preserve">отводы89ППУ ОЦ</v>
      </c>
      <c r="B13" s="28">
        <v>2023</v>
      </c>
      <c r="C13" s="29" t="s">
        <v>32</v>
      </c>
      <c r="D13" s="30" t="s">
        <v>36</v>
      </c>
      <c r="E13" s="31">
        <v>89</v>
      </c>
      <c r="F13" s="31">
        <v>160</v>
      </c>
      <c r="G13" s="31"/>
      <c r="H13" s="28" t="s">
        <v>38</v>
      </c>
      <c r="I13" s="28" t="s">
        <v>39</v>
      </c>
      <c r="J13" s="28">
        <v>6</v>
      </c>
      <c r="K13" s="34">
        <v>6</v>
      </c>
      <c r="L13" s="28"/>
      <c r="M13" s="28"/>
      <c r="N13" s="35">
        <v>2500</v>
      </c>
      <c r="O13" s="36">
        <f t="shared" si="3"/>
        <v>2083.3333333333335</v>
      </c>
      <c r="P13" s="36"/>
      <c r="Q13" s="37">
        <f t="shared" si="4"/>
        <v>2208.3333333333335</v>
      </c>
      <c r="R13" s="37"/>
      <c r="S13" s="37"/>
      <c r="T13" s="37">
        <f t="shared" si="5"/>
        <v>13250</v>
      </c>
      <c r="V13" s="38">
        <f t="shared" si="6"/>
        <v>13250</v>
      </c>
      <c r="X13" s="38">
        <f t="shared" si="7"/>
        <v>0</v>
      </c>
    </row>
    <row r="14" ht="27.199999999999999">
      <c r="A14" s="23" t="str">
        <f t="shared" si="2"/>
        <v xml:space="preserve">отводы89ППУ ПЭ</v>
      </c>
      <c r="B14" s="28">
        <v>2023</v>
      </c>
      <c r="C14" s="29" t="s">
        <v>32</v>
      </c>
      <c r="D14" s="30" t="s">
        <v>36</v>
      </c>
      <c r="E14" s="31">
        <v>89</v>
      </c>
      <c r="F14" s="31">
        <v>160</v>
      </c>
      <c r="G14" s="31"/>
      <c r="H14" s="28" t="s">
        <v>34</v>
      </c>
      <c r="I14" s="28" t="s">
        <v>39</v>
      </c>
      <c r="J14" s="28">
        <v>6</v>
      </c>
      <c r="K14" s="34">
        <v>6</v>
      </c>
      <c r="L14" s="28"/>
      <c r="M14" s="28"/>
      <c r="N14" s="35">
        <v>2500</v>
      </c>
      <c r="O14" s="36">
        <f t="shared" si="3"/>
        <v>2083.3333333333335</v>
      </c>
      <c r="P14" s="36"/>
      <c r="Q14" s="37">
        <f t="shared" si="4"/>
        <v>2208.3333333333335</v>
      </c>
      <c r="R14" s="37"/>
      <c r="S14" s="37"/>
      <c r="T14" s="37">
        <f t="shared" si="5"/>
        <v>13250</v>
      </c>
      <c r="V14" s="38">
        <f t="shared" si="6"/>
        <v>13250</v>
      </c>
      <c r="X14" s="38">
        <f t="shared" si="7"/>
        <v>0</v>
      </c>
    </row>
    <row r="15" ht="27.199999999999999">
      <c r="A15" s="23" t="str">
        <f t="shared" si="2"/>
        <v xml:space="preserve">отводы76ППУ ОЦ</v>
      </c>
      <c r="B15" s="28">
        <v>2023</v>
      </c>
      <c r="C15" s="29" t="s">
        <v>32</v>
      </c>
      <c r="D15" s="30" t="s">
        <v>36</v>
      </c>
      <c r="E15" s="31">
        <v>76</v>
      </c>
      <c r="F15" s="31">
        <v>140</v>
      </c>
      <c r="G15" s="31"/>
      <c r="H15" s="28" t="s">
        <v>38</v>
      </c>
      <c r="I15" s="28" t="s">
        <v>39</v>
      </c>
      <c r="J15" s="28">
        <v>20</v>
      </c>
      <c r="K15" s="39">
        <v>20</v>
      </c>
      <c r="L15" s="28"/>
      <c r="M15" s="28"/>
      <c r="N15" s="35">
        <v>2000</v>
      </c>
      <c r="O15" s="36">
        <f t="shared" si="3"/>
        <v>1666.6666666666667</v>
      </c>
      <c r="P15" s="36"/>
      <c r="Q15" s="37">
        <f t="shared" si="4"/>
        <v>1766.6666666666667</v>
      </c>
      <c r="R15" s="37"/>
      <c r="S15" s="37"/>
      <c r="T15" s="37">
        <f t="shared" si="5"/>
        <v>35333.333333333336</v>
      </c>
      <c r="V15" s="38">
        <f t="shared" si="6"/>
        <v>35333.330000000002</v>
      </c>
      <c r="X15" s="38">
        <f t="shared" si="7"/>
        <v>0.0033333333340124227</v>
      </c>
    </row>
    <row r="16" ht="27.199999999999999">
      <c r="A16" s="23" t="str">
        <f t="shared" si="2"/>
        <v xml:space="preserve">отводы76ППУ ПЭ</v>
      </c>
      <c r="B16" s="28">
        <v>2023</v>
      </c>
      <c r="C16" s="29" t="s">
        <v>32</v>
      </c>
      <c r="D16" s="30" t="s">
        <v>36</v>
      </c>
      <c r="E16" s="31">
        <v>76</v>
      </c>
      <c r="F16" s="31">
        <v>140</v>
      </c>
      <c r="G16" s="31"/>
      <c r="H16" s="28" t="s">
        <v>34</v>
      </c>
      <c r="I16" s="28" t="s">
        <v>39</v>
      </c>
      <c r="J16" s="28">
        <v>20</v>
      </c>
      <c r="K16" s="39">
        <v>20</v>
      </c>
      <c r="L16" s="28"/>
      <c r="M16" s="28"/>
      <c r="N16" s="35">
        <v>2000</v>
      </c>
      <c r="O16" s="36">
        <f t="shared" si="3"/>
        <v>1666.6666666666667</v>
      </c>
      <c r="P16" s="36"/>
      <c r="Q16" s="37">
        <f t="shared" si="4"/>
        <v>1766.6666666666667</v>
      </c>
      <c r="R16" s="37"/>
      <c r="S16" s="37"/>
      <c r="T16" s="37">
        <f t="shared" si="5"/>
        <v>35333.333333333336</v>
      </c>
      <c r="V16" s="38">
        <f t="shared" si="6"/>
        <v>35333.330000000002</v>
      </c>
      <c r="X16" s="38">
        <f t="shared" si="7"/>
        <v>0.0033333333340124227</v>
      </c>
    </row>
    <row r="17" ht="27.199999999999999">
      <c r="A17" s="23" t="str">
        <f t="shared" si="2"/>
        <v xml:space="preserve">отводы57ППУ ОЦ</v>
      </c>
      <c r="B17" s="28">
        <v>2023</v>
      </c>
      <c r="C17" s="29" t="s">
        <v>32</v>
      </c>
      <c r="D17" s="30" t="s">
        <v>36</v>
      </c>
      <c r="E17" s="31">
        <v>57</v>
      </c>
      <c r="F17" s="31">
        <v>125</v>
      </c>
      <c r="G17" s="31"/>
      <c r="H17" s="28" t="s">
        <v>38</v>
      </c>
      <c r="I17" s="28" t="s">
        <v>39</v>
      </c>
      <c r="J17" s="28">
        <v>10</v>
      </c>
      <c r="K17" s="39">
        <v>10</v>
      </c>
      <c r="L17" s="28"/>
      <c r="M17" s="28"/>
      <c r="N17" s="35">
        <v>1750</v>
      </c>
      <c r="O17" s="36">
        <f t="shared" si="3"/>
        <v>1458.3333333333335</v>
      </c>
      <c r="P17" s="36"/>
      <c r="Q17" s="37">
        <f t="shared" si="4"/>
        <v>1545.8333333333335</v>
      </c>
      <c r="R17" s="37"/>
      <c r="S17" s="37"/>
      <c r="T17" s="37">
        <f t="shared" si="5"/>
        <v>15458.333333333336</v>
      </c>
      <c r="V17" s="38">
        <f t="shared" si="6"/>
        <v>15458.33</v>
      </c>
      <c r="X17" s="38">
        <f t="shared" si="7"/>
        <v>0.0033333333358314121</v>
      </c>
    </row>
    <row r="18" ht="27.199999999999999">
      <c r="A18" s="23" t="str">
        <f t="shared" si="2"/>
        <v xml:space="preserve">отводы57ППУ ПЭ</v>
      </c>
      <c r="B18" s="28">
        <v>2023</v>
      </c>
      <c r="C18" s="29" t="s">
        <v>32</v>
      </c>
      <c r="D18" s="30" t="s">
        <v>36</v>
      </c>
      <c r="E18" s="31">
        <v>57</v>
      </c>
      <c r="F18" s="31">
        <v>125</v>
      </c>
      <c r="G18" s="31"/>
      <c r="H18" s="28" t="s">
        <v>34</v>
      </c>
      <c r="I18" s="28" t="s">
        <v>39</v>
      </c>
      <c r="J18" s="28">
        <v>10</v>
      </c>
      <c r="K18" s="39">
        <v>4</v>
      </c>
      <c r="L18" s="28"/>
      <c r="M18" s="28"/>
      <c r="N18" s="35">
        <v>1750</v>
      </c>
      <c r="O18" s="36">
        <f t="shared" si="3"/>
        <v>1458.3333333333335</v>
      </c>
      <c r="P18" s="36"/>
      <c r="Q18" s="37">
        <f t="shared" si="4"/>
        <v>1545.8333333333335</v>
      </c>
      <c r="R18" s="37"/>
      <c r="S18" s="37"/>
      <c r="T18" s="37">
        <f t="shared" si="5"/>
        <v>15458.333333333336</v>
      </c>
      <c r="V18" s="38">
        <f t="shared" si="6"/>
        <v>6183.3299999999999</v>
      </c>
      <c r="X18" s="38">
        <f t="shared" si="7"/>
        <v>9275.0033333333358</v>
      </c>
    </row>
    <row r="19" ht="27.199999999999999">
      <c r="A19" s="23" t="str">
        <f t="shared" si="2"/>
        <v xml:space="preserve">переходы57/40ППУ ПЭ</v>
      </c>
      <c r="B19" s="28">
        <v>2023</v>
      </c>
      <c r="C19" s="29" t="s">
        <v>32</v>
      </c>
      <c r="D19" s="30" t="s">
        <v>43</v>
      </c>
      <c r="E19" s="31" t="s">
        <v>44</v>
      </c>
      <c r="F19" s="31" t="s">
        <v>45</v>
      </c>
      <c r="G19" s="31"/>
      <c r="H19" s="31" t="s">
        <v>34</v>
      </c>
      <c r="I19" s="31" t="s">
        <v>39</v>
      </c>
      <c r="J19" s="28">
        <v>4</v>
      </c>
      <c r="K19" s="39">
        <v>4</v>
      </c>
      <c r="L19" s="28"/>
      <c r="M19" s="28"/>
      <c r="N19" s="35">
        <v>2400</v>
      </c>
      <c r="O19" s="36">
        <f t="shared" si="3"/>
        <v>2000</v>
      </c>
      <c r="P19" s="36"/>
      <c r="Q19" s="37">
        <f t="shared" si="4"/>
        <v>2120</v>
      </c>
      <c r="R19" s="37"/>
      <c r="S19" s="37"/>
      <c r="T19" s="37">
        <f t="shared" si="5"/>
        <v>8480</v>
      </c>
      <c r="V19" s="38">
        <f t="shared" si="6"/>
        <v>8480</v>
      </c>
      <c r="X19" s="38">
        <f t="shared" si="7"/>
        <v>0</v>
      </c>
    </row>
    <row r="20" ht="27.199999999999999">
      <c r="A20" s="23" t="str">
        <f t="shared" si="2"/>
        <v xml:space="preserve">Тройники219/108/219ППУ ПЭ</v>
      </c>
      <c r="B20" s="28">
        <v>2023</v>
      </c>
      <c r="C20" s="29" t="s">
        <v>32</v>
      </c>
      <c r="D20" s="30" t="s">
        <v>46</v>
      </c>
      <c r="E20" s="31" t="s">
        <v>47</v>
      </c>
      <c r="F20" s="31" t="s">
        <v>48</v>
      </c>
      <c r="G20" s="31" t="s">
        <v>42</v>
      </c>
      <c r="H20" s="31" t="s">
        <v>34</v>
      </c>
      <c r="I20" s="31" t="s">
        <v>39</v>
      </c>
      <c r="J20" s="28">
        <v>8</v>
      </c>
      <c r="K20" s="34">
        <v>6</v>
      </c>
      <c r="L20" s="28"/>
      <c r="M20" s="28"/>
      <c r="N20" s="35">
        <v>16000</v>
      </c>
      <c r="O20" s="36">
        <f t="shared" si="3"/>
        <v>13333.333333333334</v>
      </c>
      <c r="P20" s="36"/>
      <c r="Q20" s="37">
        <f t="shared" si="4"/>
        <v>14133.333333333334</v>
      </c>
      <c r="R20" s="37"/>
      <c r="S20" s="37"/>
      <c r="T20" s="37">
        <f t="shared" si="5"/>
        <v>113066.66666666667</v>
      </c>
      <c r="V20" s="38">
        <f t="shared" si="6"/>
        <v>84800</v>
      </c>
      <c r="X20" s="38">
        <f t="shared" si="7"/>
        <v>28266.666666666672</v>
      </c>
    </row>
    <row r="21" ht="27.199999999999999">
      <c r="A21" s="23" t="str">
        <f t="shared" si="2"/>
        <v xml:space="preserve">Тройники219/89/219ППУ ПЭ</v>
      </c>
      <c r="B21" s="28">
        <v>2023</v>
      </c>
      <c r="C21" s="29" t="s">
        <v>32</v>
      </c>
      <c r="D21" s="30" t="s">
        <v>46</v>
      </c>
      <c r="E21" s="31" t="s">
        <v>49</v>
      </c>
      <c r="F21" s="31" t="s">
        <v>50</v>
      </c>
      <c r="G21" s="31" t="s">
        <v>42</v>
      </c>
      <c r="H21" s="31" t="s">
        <v>34</v>
      </c>
      <c r="I21" s="31" t="s">
        <v>39</v>
      </c>
      <c r="J21" s="28">
        <v>6</v>
      </c>
      <c r="K21" s="34">
        <v>2</v>
      </c>
      <c r="L21" s="28"/>
      <c r="M21" s="28"/>
      <c r="N21" s="35">
        <v>15000</v>
      </c>
      <c r="O21" s="36">
        <f t="shared" si="3"/>
        <v>12500</v>
      </c>
      <c r="P21" s="36"/>
      <c r="Q21" s="37">
        <f t="shared" si="4"/>
        <v>13250</v>
      </c>
      <c r="R21" s="37"/>
      <c r="S21" s="37"/>
      <c r="T21" s="37">
        <f t="shared" si="5"/>
        <v>79500</v>
      </c>
      <c r="V21" s="38">
        <f t="shared" si="6"/>
        <v>26500</v>
      </c>
      <c r="X21" s="38">
        <f t="shared" si="7"/>
        <v>53000</v>
      </c>
    </row>
    <row r="22" ht="27.199999999999999">
      <c r="A22" s="23" t="str">
        <f t="shared" si="2"/>
        <v xml:space="preserve">Тройники219/76/219ППУ ПЭ</v>
      </c>
      <c r="B22" s="28">
        <v>2023</v>
      </c>
      <c r="C22" s="29" t="s">
        <v>32</v>
      </c>
      <c r="D22" s="30" t="s">
        <v>46</v>
      </c>
      <c r="E22" s="31" t="s">
        <v>51</v>
      </c>
      <c r="F22" s="31" t="s">
        <v>52</v>
      </c>
      <c r="G22" s="31"/>
      <c r="H22" s="31" t="s">
        <v>34</v>
      </c>
      <c r="I22" s="31" t="s">
        <v>39</v>
      </c>
      <c r="J22" s="28">
        <v>6</v>
      </c>
      <c r="K22" s="34">
        <v>6</v>
      </c>
      <c r="L22" s="28"/>
      <c r="M22" s="28"/>
      <c r="N22" s="35">
        <v>15000</v>
      </c>
      <c r="O22" s="36">
        <f t="shared" si="3"/>
        <v>12500</v>
      </c>
      <c r="P22" s="36"/>
      <c r="Q22" s="37">
        <f t="shared" si="4"/>
        <v>13250</v>
      </c>
      <c r="R22" s="37"/>
      <c r="S22" s="37"/>
      <c r="T22" s="37">
        <f t="shared" si="5"/>
        <v>79500</v>
      </c>
      <c r="V22" s="38">
        <f t="shared" si="6"/>
        <v>79500</v>
      </c>
      <c r="X22" s="38">
        <f t="shared" si="7"/>
        <v>0</v>
      </c>
    </row>
    <row r="23" ht="27.199999999999999">
      <c r="A23" s="23" t="str">
        <f t="shared" si="2"/>
        <v xml:space="preserve">Тройники219/57/219ППУ ПЭ</v>
      </c>
      <c r="B23" s="28">
        <v>2023</v>
      </c>
      <c r="C23" s="29" t="s">
        <v>32</v>
      </c>
      <c r="D23" s="30" t="s">
        <v>46</v>
      </c>
      <c r="E23" s="31" t="s">
        <v>53</v>
      </c>
      <c r="F23" s="31" t="s">
        <v>54</v>
      </c>
      <c r="G23" s="31" t="s">
        <v>42</v>
      </c>
      <c r="H23" s="31" t="s">
        <v>34</v>
      </c>
      <c r="I23" s="31" t="s">
        <v>39</v>
      </c>
      <c r="J23" s="28">
        <v>4</v>
      </c>
      <c r="K23" s="34">
        <v>2</v>
      </c>
      <c r="L23" s="28"/>
      <c r="M23" s="28"/>
      <c r="N23" s="35">
        <v>15000</v>
      </c>
      <c r="O23" s="36">
        <f t="shared" si="3"/>
        <v>12500</v>
      </c>
      <c r="P23" s="36"/>
      <c r="Q23" s="37">
        <f t="shared" si="4"/>
        <v>13250</v>
      </c>
      <c r="R23" s="37"/>
      <c r="S23" s="37"/>
      <c r="T23" s="37">
        <f t="shared" si="5"/>
        <v>53000</v>
      </c>
      <c r="V23" s="38">
        <f t="shared" si="6"/>
        <v>26500</v>
      </c>
      <c r="X23" s="38">
        <f t="shared" si="7"/>
        <v>26500</v>
      </c>
    </row>
    <row r="24" ht="27.199999999999999">
      <c r="A24" s="23" t="str">
        <f t="shared" si="2"/>
        <v xml:space="preserve">Тройники108/57/108ППУ ПЭ</v>
      </c>
      <c r="B24" s="28">
        <v>2023</v>
      </c>
      <c r="C24" s="29" t="s">
        <v>32</v>
      </c>
      <c r="D24" s="30" t="s">
        <v>46</v>
      </c>
      <c r="E24" s="31" t="s">
        <v>55</v>
      </c>
      <c r="F24" s="31" t="s">
        <v>56</v>
      </c>
      <c r="G24" s="31"/>
      <c r="H24" s="31" t="s">
        <v>34</v>
      </c>
      <c r="I24" s="31" t="s">
        <v>39</v>
      </c>
      <c r="J24" s="28">
        <v>4</v>
      </c>
      <c r="K24" s="34">
        <v>4</v>
      </c>
      <c r="L24" s="28"/>
      <c r="M24" s="28"/>
      <c r="N24" s="35">
        <v>8000</v>
      </c>
      <c r="O24" s="36">
        <f t="shared" si="3"/>
        <v>6666.666666666667</v>
      </c>
      <c r="P24" s="36"/>
      <c r="Q24" s="37">
        <f t="shared" si="4"/>
        <v>7066.666666666667</v>
      </c>
      <c r="R24" s="37"/>
      <c r="S24" s="37"/>
      <c r="T24" s="37">
        <f t="shared" si="5"/>
        <v>28266.666666666668</v>
      </c>
      <c r="V24" s="38">
        <f t="shared" si="6"/>
        <v>28266.669999999998</v>
      </c>
      <c r="X24" s="38">
        <f t="shared" si="7"/>
        <v>-0.0033333333303744439</v>
      </c>
    </row>
    <row r="25" ht="27.199999999999999">
      <c r="A25" s="23" t="str">
        <f t="shared" si="2"/>
        <v xml:space="preserve">шар кран200шар кран</v>
      </c>
      <c r="B25" s="28">
        <v>2023</v>
      </c>
      <c r="C25" s="29" t="s">
        <v>32</v>
      </c>
      <c r="D25" s="30" t="s">
        <v>57</v>
      </c>
      <c r="E25" s="31">
        <v>200</v>
      </c>
      <c r="F25" s="31">
        <v>315</v>
      </c>
      <c r="G25" s="31"/>
      <c r="H25" s="30" t="s">
        <v>57</v>
      </c>
      <c r="I25" s="31" t="s">
        <v>39</v>
      </c>
      <c r="J25" s="28">
        <v>2</v>
      </c>
      <c r="K25" s="28">
        <v>2</v>
      </c>
      <c r="L25" s="28"/>
      <c r="M25" s="28"/>
      <c r="N25" s="35">
        <v>35000</v>
      </c>
      <c r="O25" s="36">
        <f t="shared" si="3"/>
        <v>29166.666666666668</v>
      </c>
      <c r="P25" s="36"/>
      <c r="Q25" s="37">
        <f t="shared" si="4"/>
        <v>30916.666666666668</v>
      </c>
      <c r="R25" s="37"/>
      <c r="S25" s="37"/>
      <c r="T25" s="37">
        <f t="shared" si="5"/>
        <v>61833.333333333336</v>
      </c>
      <c r="V25" s="38">
        <f t="shared" si="6"/>
        <v>61833.330000000002</v>
      </c>
      <c r="X25" s="38">
        <f t="shared" si="7"/>
        <v>0.0033333333340124227</v>
      </c>
    </row>
    <row r="26" ht="27.199999999999999">
      <c r="A26" s="23" t="str">
        <f t="shared" si="2"/>
        <v xml:space="preserve">шар кран100шар кран</v>
      </c>
      <c r="B26" s="28">
        <v>2023</v>
      </c>
      <c r="C26" s="29" t="s">
        <v>32</v>
      </c>
      <c r="D26" s="30" t="s">
        <v>57</v>
      </c>
      <c r="E26" s="31">
        <v>100</v>
      </c>
      <c r="F26" s="31">
        <v>180</v>
      </c>
      <c r="G26" s="31"/>
      <c r="H26" s="30" t="s">
        <v>57</v>
      </c>
      <c r="I26" s="31" t="s">
        <v>39</v>
      </c>
      <c r="J26" s="33">
        <f>4-2</f>
        <v>2</v>
      </c>
      <c r="K26" s="28">
        <v>2</v>
      </c>
      <c r="L26" s="28"/>
      <c r="M26" s="28"/>
      <c r="N26" s="35">
        <v>20000</v>
      </c>
      <c r="O26" s="36">
        <f t="shared" si="3"/>
        <v>16666.666666666668</v>
      </c>
      <c r="P26" s="36"/>
      <c r="Q26" s="37">
        <f t="shared" si="4"/>
        <v>17666.666666666668</v>
      </c>
      <c r="R26" s="37"/>
      <c r="S26" s="37"/>
      <c r="T26" s="37">
        <f t="shared" si="5"/>
        <v>35333.333333333336</v>
      </c>
      <c r="V26" s="38">
        <f t="shared" si="6"/>
        <v>35333.330000000002</v>
      </c>
      <c r="X26" s="38">
        <f t="shared" si="7"/>
        <v>0.0033333333340124227</v>
      </c>
    </row>
    <row r="27" ht="27.199999999999999">
      <c r="A27" s="23" t="str">
        <f t="shared" si="2"/>
        <v xml:space="preserve">шар кран80шар кран</v>
      </c>
      <c r="B27" s="28">
        <v>2023</v>
      </c>
      <c r="C27" s="29" t="s">
        <v>32</v>
      </c>
      <c r="D27" s="30" t="s">
        <v>57</v>
      </c>
      <c r="E27" s="31">
        <v>80</v>
      </c>
      <c r="F27" s="31">
        <v>160</v>
      </c>
      <c r="G27" s="31"/>
      <c r="H27" s="30" t="s">
        <v>57</v>
      </c>
      <c r="I27" s="31" t="s">
        <v>39</v>
      </c>
      <c r="J27" s="28">
        <v>2</v>
      </c>
      <c r="K27" s="28">
        <v>2</v>
      </c>
      <c r="L27" s="28"/>
      <c r="M27" s="28"/>
      <c r="N27" s="35">
        <v>17000</v>
      </c>
      <c r="O27" s="36">
        <f t="shared" si="3"/>
        <v>14166.666666666668</v>
      </c>
      <c r="P27" s="36"/>
      <c r="Q27" s="37">
        <f t="shared" si="4"/>
        <v>15016.666666666668</v>
      </c>
      <c r="R27" s="37"/>
      <c r="S27" s="37"/>
      <c r="T27" s="37">
        <f t="shared" si="5"/>
        <v>30033.333333333336</v>
      </c>
      <c r="V27" s="38">
        <f t="shared" si="6"/>
        <v>30033.330000000002</v>
      </c>
      <c r="X27" s="38">
        <f t="shared" si="7"/>
        <v>0.0033333333340124227</v>
      </c>
    </row>
    <row r="28" ht="27.199999999999999">
      <c r="A28" s="23" t="str">
        <f t="shared" si="2"/>
        <v xml:space="preserve">шар кран65шар кран</v>
      </c>
      <c r="B28" s="28">
        <v>2023</v>
      </c>
      <c r="C28" s="29" t="s">
        <v>32</v>
      </c>
      <c r="D28" s="30" t="s">
        <v>57</v>
      </c>
      <c r="E28" s="31">
        <v>65</v>
      </c>
      <c r="F28" s="31">
        <v>140</v>
      </c>
      <c r="G28" s="31"/>
      <c r="H28" s="30" t="s">
        <v>57</v>
      </c>
      <c r="I28" s="31" t="s">
        <v>39</v>
      </c>
      <c r="J28" s="28">
        <v>2</v>
      </c>
      <c r="K28" s="28">
        <v>2</v>
      </c>
      <c r="L28" s="28"/>
      <c r="M28" s="28"/>
      <c r="N28" s="35">
        <v>15000</v>
      </c>
      <c r="O28" s="36">
        <f t="shared" si="3"/>
        <v>12500</v>
      </c>
      <c r="P28" s="36"/>
      <c r="Q28" s="37">
        <f t="shared" si="4"/>
        <v>13250</v>
      </c>
      <c r="R28" s="37"/>
      <c r="S28" s="37"/>
      <c r="T28" s="37">
        <f t="shared" si="5"/>
        <v>26500</v>
      </c>
      <c r="V28" s="38">
        <f t="shared" si="6"/>
        <v>26500</v>
      </c>
      <c r="X28" s="38">
        <f t="shared" si="7"/>
        <v>0</v>
      </c>
    </row>
    <row r="29" ht="27.199999999999999">
      <c r="A29" s="23" t="str">
        <f t="shared" si="2"/>
        <v xml:space="preserve">шар кран50шар кран</v>
      </c>
      <c r="B29" s="28">
        <v>2023</v>
      </c>
      <c r="C29" s="29" t="s">
        <v>32</v>
      </c>
      <c r="D29" s="30" t="s">
        <v>57</v>
      </c>
      <c r="E29" s="31">
        <v>50</v>
      </c>
      <c r="F29" s="31">
        <v>125</v>
      </c>
      <c r="G29" s="31" t="s">
        <v>42</v>
      </c>
      <c r="H29" s="30" t="s">
        <v>57</v>
      </c>
      <c r="I29" s="31" t="s">
        <v>39</v>
      </c>
      <c r="J29" s="28">
        <v>2</v>
      </c>
      <c r="K29" s="28">
        <v>0</v>
      </c>
      <c r="L29" s="28"/>
      <c r="M29" s="28"/>
      <c r="N29" s="35">
        <v>12000</v>
      </c>
      <c r="O29" s="36">
        <f t="shared" si="3"/>
        <v>10000</v>
      </c>
      <c r="P29" s="36"/>
      <c r="Q29" s="37">
        <f t="shared" si="4"/>
        <v>10600</v>
      </c>
      <c r="R29" s="37"/>
      <c r="S29" s="37"/>
      <c r="T29" s="37">
        <f t="shared" si="5"/>
        <v>21200</v>
      </c>
      <c r="V29" s="38">
        <f t="shared" si="6"/>
        <v>0</v>
      </c>
      <c r="X29" s="38">
        <f t="shared" si="7"/>
        <v>21200</v>
      </c>
    </row>
    <row r="30" ht="27.199999999999999">
      <c r="A30" s="23" t="str">
        <f t="shared" si="2"/>
        <v xml:space="preserve">шар кран40шар кран</v>
      </c>
      <c r="B30" s="28">
        <v>2023</v>
      </c>
      <c r="C30" s="29" t="s">
        <v>32</v>
      </c>
      <c r="D30" s="30" t="s">
        <v>57</v>
      </c>
      <c r="E30" s="31">
        <v>40</v>
      </c>
      <c r="F30" s="31">
        <v>125</v>
      </c>
      <c r="G30" s="31"/>
      <c r="H30" s="30" t="s">
        <v>57</v>
      </c>
      <c r="I30" s="31" t="s">
        <v>39</v>
      </c>
      <c r="J30" s="28">
        <v>2</v>
      </c>
      <c r="K30" s="28">
        <v>2</v>
      </c>
      <c r="L30" s="28"/>
      <c r="M30" s="28"/>
      <c r="N30" s="35">
        <v>10000</v>
      </c>
      <c r="O30" s="36">
        <f t="shared" si="3"/>
        <v>8333.3333333333339</v>
      </c>
      <c r="P30" s="36"/>
      <c r="Q30" s="37">
        <f t="shared" si="4"/>
        <v>8833.3333333333339</v>
      </c>
      <c r="R30" s="37"/>
      <c r="S30" s="37"/>
      <c r="T30" s="37">
        <f t="shared" si="5"/>
        <v>17666.666666666668</v>
      </c>
      <c r="V30" s="38">
        <f t="shared" si="6"/>
        <v>17666.669999999998</v>
      </c>
      <c r="X30" s="38">
        <f t="shared" si="7"/>
        <v>-0.0033333333303744439</v>
      </c>
    </row>
    <row r="31" ht="27.199999999999999">
      <c r="A31" s="23" t="str">
        <f t="shared" si="2"/>
        <v xml:space="preserve">КЗСКЗС(Ц)-219/315ППУ ОЦ</v>
      </c>
      <c r="B31" s="28">
        <v>2023</v>
      </c>
      <c r="C31" s="29" t="s">
        <v>32</v>
      </c>
      <c r="D31" s="30" t="s">
        <v>58</v>
      </c>
      <c r="E31" s="31" t="s">
        <v>59</v>
      </c>
      <c r="F31" s="31">
        <v>315</v>
      </c>
      <c r="G31" s="31"/>
      <c r="H31" s="28" t="s">
        <v>38</v>
      </c>
      <c r="I31" s="28" t="s">
        <v>39</v>
      </c>
      <c r="J31" s="28">
        <v>22</v>
      </c>
      <c r="K31" s="28">
        <v>22</v>
      </c>
      <c r="L31" s="28"/>
      <c r="M31" s="28"/>
      <c r="N31" s="35">
        <f>208+550+1408</f>
        <v>2166</v>
      </c>
      <c r="O31" s="36">
        <f t="shared" si="3"/>
        <v>1805</v>
      </c>
      <c r="P31" s="36"/>
      <c r="Q31" s="37">
        <f t="shared" si="4"/>
        <v>1913.3000000000002</v>
      </c>
      <c r="R31" s="37"/>
      <c r="S31" s="37"/>
      <c r="T31" s="37">
        <f t="shared" si="5"/>
        <v>42092.600000000006</v>
      </c>
      <c r="V31" s="38">
        <f t="shared" si="6"/>
        <v>42092.599999999999</v>
      </c>
      <c r="X31" s="38">
        <f t="shared" si="7"/>
        <v>0</v>
      </c>
    </row>
    <row r="32" ht="27.199999999999999">
      <c r="A32" s="23" t="str">
        <f t="shared" si="2"/>
        <v xml:space="preserve">КЗСКЗС(Т)-219/315ППУ ПЭ</v>
      </c>
      <c r="B32" s="28">
        <v>2023</v>
      </c>
      <c r="C32" s="29" t="s">
        <v>32</v>
      </c>
      <c r="D32" s="30" t="s">
        <v>58</v>
      </c>
      <c r="E32" s="31" t="s">
        <v>60</v>
      </c>
      <c r="F32" s="31">
        <v>315</v>
      </c>
      <c r="G32" s="31"/>
      <c r="H32" s="28" t="s">
        <v>34</v>
      </c>
      <c r="I32" s="28" t="s">
        <v>39</v>
      </c>
      <c r="J32" s="28">
        <v>110</v>
      </c>
      <c r="K32" s="28">
        <v>110</v>
      </c>
      <c r="L32" s="28"/>
      <c r="M32" s="28"/>
      <c r="N32" s="35">
        <f>208+948+550</f>
        <v>1706</v>
      </c>
      <c r="O32" s="36">
        <f t="shared" si="3"/>
        <v>1421.6666666666667</v>
      </c>
      <c r="P32" s="36"/>
      <c r="Q32" s="37">
        <f t="shared" si="4"/>
        <v>1506.9666666666669</v>
      </c>
      <c r="R32" s="37"/>
      <c r="S32" s="37"/>
      <c r="T32" s="37">
        <f t="shared" si="5"/>
        <v>165766.33333333337</v>
      </c>
      <c r="V32" s="38">
        <f t="shared" si="6"/>
        <v>165766.32999999999</v>
      </c>
      <c r="X32" s="38">
        <f t="shared" si="7"/>
        <v>0.003333333384944126</v>
      </c>
    </row>
    <row r="33" ht="27.199999999999999">
      <c r="A33" s="23" t="str">
        <f t="shared" si="2"/>
        <v xml:space="preserve">КЗСКЗС(Ц)-108/180ППУ ОЦ</v>
      </c>
      <c r="B33" s="28">
        <v>2023</v>
      </c>
      <c r="C33" s="29" t="s">
        <v>32</v>
      </c>
      <c r="D33" s="30" t="s">
        <v>58</v>
      </c>
      <c r="E33" s="31" t="s">
        <v>61</v>
      </c>
      <c r="F33" s="31">
        <v>180</v>
      </c>
      <c r="G33" s="31"/>
      <c r="H33" s="28" t="s">
        <v>38</v>
      </c>
      <c r="I33" s="28" t="s">
        <v>39</v>
      </c>
      <c r="J33" s="33">
        <f>36-6</f>
        <v>30</v>
      </c>
      <c r="K33" s="28">
        <f>36-6</f>
        <v>30</v>
      </c>
      <c r="L33" s="28"/>
      <c r="M33" s="28"/>
      <c r="N33" s="35">
        <f>208+209+961</f>
        <v>1378</v>
      </c>
      <c r="O33" s="36">
        <f t="shared" si="3"/>
        <v>1148.3333333333335</v>
      </c>
      <c r="P33" s="36"/>
      <c r="Q33" s="37">
        <f t="shared" si="4"/>
        <v>1217.2333333333336</v>
      </c>
      <c r="R33" s="37"/>
      <c r="S33" s="37"/>
      <c r="T33" s="37">
        <f t="shared" si="5"/>
        <v>36517.000000000007</v>
      </c>
      <c r="V33" s="38">
        <f t="shared" si="6"/>
        <v>36517</v>
      </c>
      <c r="X33" s="38">
        <f t="shared" si="7"/>
        <v>0</v>
      </c>
    </row>
    <row r="34" ht="27.199999999999999">
      <c r="A34" s="23" t="str">
        <f t="shared" si="2"/>
        <v xml:space="preserve">КЗСКЗС(Т)-108/180ППУ ПЭ</v>
      </c>
      <c r="B34" s="28">
        <v>2023</v>
      </c>
      <c r="C34" s="29" t="s">
        <v>32</v>
      </c>
      <c r="D34" s="30" t="s">
        <v>58</v>
      </c>
      <c r="E34" s="31" t="s">
        <v>62</v>
      </c>
      <c r="F34" s="31">
        <v>180</v>
      </c>
      <c r="G34" s="31"/>
      <c r="H34" s="28" t="s">
        <v>34</v>
      </c>
      <c r="I34" s="28" t="s">
        <v>39</v>
      </c>
      <c r="J34" s="33">
        <f>106-68</f>
        <v>38</v>
      </c>
      <c r="K34" s="28">
        <f>106-68</f>
        <v>38</v>
      </c>
      <c r="L34" s="28"/>
      <c r="M34" s="28"/>
      <c r="N34" s="35">
        <f>208+359+209</f>
        <v>776</v>
      </c>
      <c r="O34" s="36">
        <f t="shared" si="3"/>
        <v>646.66666666666674</v>
      </c>
      <c r="P34" s="36"/>
      <c r="Q34" s="37">
        <f t="shared" si="4"/>
        <v>685.46666666666681</v>
      </c>
      <c r="R34" s="37"/>
      <c r="S34" s="37"/>
      <c r="T34" s="37">
        <f t="shared" si="5"/>
        <v>26047.733333333337</v>
      </c>
      <c r="V34" s="38">
        <f t="shared" si="6"/>
        <v>26047.73</v>
      </c>
      <c r="X34" s="38">
        <f t="shared" si="7"/>
        <v>0.0033333333376504015</v>
      </c>
    </row>
    <row r="35" ht="27.199999999999999">
      <c r="A35" s="23" t="str">
        <f t="shared" si="2"/>
        <v xml:space="preserve">КЗСКЗС(Ц)-89/160ППУ ОЦ</v>
      </c>
      <c r="B35" s="28">
        <v>2023</v>
      </c>
      <c r="C35" s="29" t="s">
        <v>32</v>
      </c>
      <c r="D35" s="30" t="s">
        <v>58</v>
      </c>
      <c r="E35" s="31" t="s">
        <v>63</v>
      </c>
      <c r="F35" s="31">
        <v>160</v>
      </c>
      <c r="G35" s="31"/>
      <c r="H35" s="28" t="s">
        <v>38</v>
      </c>
      <c r="I35" s="28" t="s">
        <v>39</v>
      </c>
      <c r="J35" s="28">
        <v>14</v>
      </c>
      <c r="K35" s="28">
        <v>14</v>
      </c>
      <c r="L35" s="28"/>
      <c r="M35" s="28"/>
      <c r="N35" s="35">
        <f>208+172+882</f>
        <v>1262</v>
      </c>
      <c r="O35" s="36">
        <f t="shared" si="3"/>
        <v>1051.6666666666667</v>
      </c>
      <c r="P35" s="36"/>
      <c r="Q35" s="37">
        <f t="shared" si="4"/>
        <v>1114.7666666666669</v>
      </c>
      <c r="R35" s="37"/>
      <c r="S35" s="37"/>
      <c r="T35" s="37">
        <f t="shared" si="5"/>
        <v>15606.733333333337</v>
      </c>
      <c r="V35" s="38">
        <f t="shared" si="6"/>
        <v>15606.73</v>
      </c>
      <c r="X35" s="38">
        <f t="shared" si="7"/>
        <v>0.0033333333376504015</v>
      </c>
    </row>
    <row r="36" ht="27.199999999999999">
      <c r="A36" s="23" t="str">
        <f t="shared" si="2"/>
        <v xml:space="preserve">КЗСКЗС(Т)-89/160ППУ ПЭ</v>
      </c>
      <c r="B36" s="28">
        <v>2023</v>
      </c>
      <c r="C36" s="29" t="s">
        <v>32</v>
      </c>
      <c r="D36" s="30" t="s">
        <v>58</v>
      </c>
      <c r="E36" s="31" t="s">
        <v>64</v>
      </c>
      <c r="F36" s="31">
        <v>160</v>
      </c>
      <c r="G36" s="31"/>
      <c r="H36" s="28" t="s">
        <v>34</v>
      </c>
      <c r="I36" s="28" t="s">
        <v>39</v>
      </c>
      <c r="J36" s="28">
        <v>16</v>
      </c>
      <c r="K36" s="28">
        <v>16</v>
      </c>
      <c r="L36" s="28"/>
      <c r="M36" s="28"/>
      <c r="N36" s="35">
        <f>208+321+172</f>
        <v>701</v>
      </c>
      <c r="O36" s="36">
        <f t="shared" si="3"/>
        <v>584.16666666666674</v>
      </c>
      <c r="P36" s="36"/>
      <c r="Q36" s="37">
        <f t="shared" si="4"/>
        <v>619.21666666666681</v>
      </c>
      <c r="R36" s="37"/>
      <c r="S36" s="37"/>
      <c r="T36" s="37">
        <f t="shared" si="5"/>
        <v>9907.466666666669</v>
      </c>
      <c r="V36" s="38">
        <f t="shared" si="6"/>
        <v>9907.4699999999993</v>
      </c>
      <c r="X36" s="38">
        <f t="shared" si="7"/>
        <v>-0.0033333333303744439</v>
      </c>
    </row>
    <row r="37" ht="27.199999999999999">
      <c r="A37" s="23" t="str">
        <f t="shared" si="2"/>
        <v xml:space="preserve">КЗСКЗС(Ц)-76/140ППУ ОЦ</v>
      </c>
      <c r="B37" s="28">
        <v>2023</v>
      </c>
      <c r="C37" s="29" t="s">
        <v>32</v>
      </c>
      <c r="D37" s="30" t="s">
        <v>58</v>
      </c>
      <c r="E37" s="31" t="s">
        <v>65</v>
      </c>
      <c r="F37" s="31">
        <v>140</v>
      </c>
      <c r="G37" s="31"/>
      <c r="H37" s="28" t="s">
        <v>38</v>
      </c>
      <c r="I37" s="31" t="s">
        <v>39</v>
      </c>
      <c r="J37" s="28">
        <v>16</v>
      </c>
      <c r="K37" s="28">
        <v>16</v>
      </c>
      <c r="L37" s="28"/>
      <c r="M37" s="28"/>
      <c r="N37" s="35">
        <f>208+154+816</f>
        <v>1178</v>
      </c>
      <c r="O37" s="36">
        <f t="shared" si="3"/>
        <v>981.66666666666674</v>
      </c>
      <c r="P37" s="36"/>
      <c r="Q37" s="37">
        <f t="shared" si="4"/>
        <v>1040.5666666666668</v>
      </c>
      <c r="R37" s="37"/>
      <c r="S37" s="37"/>
      <c r="T37" s="37">
        <f t="shared" si="5"/>
        <v>16649.066666666669</v>
      </c>
      <c r="V37" s="38">
        <f t="shared" si="6"/>
        <v>16649.07</v>
      </c>
      <c r="X37" s="38">
        <f t="shared" si="7"/>
        <v>-0.0033333333303744439</v>
      </c>
    </row>
    <row r="38" ht="27.199999999999999">
      <c r="A38" s="23" t="str">
        <f t="shared" si="2"/>
        <v xml:space="preserve">КЗСКЗС(Т)-76/140ППУ ПЭ</v>
      </c>
      <c r="B38" s="28">
        <v>2023</v>
      </c>
      <c r="C38" s="29" t="s">
        <v>32</v>
      </c>
      <c r="D38" s="30" t="s">
        <v>58</v>
      </c>
      <c r="E38" s="31" t="s">
        <v>66</v>
      </c>
      <c r="F38" s="31">
        <v>140</v>
      </c>
      <c r="G38" s="31"/>
      <c r="H38" s="28" t="s">
        <v>34</v>
      </c>
      <c r="I38" s="31" t="s">
        <v>39</v>
      </c>
      <c r="J38" s="28">
        <v>56</v>
      </c>
      <c r="K38" s="28">
        <v>56</v>
      </c>
      <c r="L38" s="28"/>
      <c r="M38" s="28"/>
      <c r="N38" s="35">
        <f>208+284+154</f>
        <v>646</v>
      </c>
      <c r="O38" s="36">
        <f t="shared" si="3"/>
        <v>538.33333333333337</v>
      </c>
      <c r="P38" s="36"/>
      <c r="Q38" s="37">
        <f t="shared" si="4"/>
        <v>570.63333333333344</v>
      </c>
      <c r="R38" s="37"/>
      <c r="S38" s="37"/>
      <c r="T38" s="37">
        <f t="shared" si="5"/>
        <v>31955.466666666674</v>
      </c>
      <c r="V38" s="38">
        <f t="shared" si="6"/>
        <v>31955.470000000001</v>
      </c>
      <c r="X38" s="38">
        <f t="shared" si="7"/>
        <v>-0.0033333333267364651</v>
      </c>
    </row>
    <row r="39" ht="27.199999999999999">
      <c r="A39" s="23" t="str">
        <f t="shared" si="2"/>
        <v xml:space="preserve">КЗСКЗС(Ц)-57/125ППУ ОЦ</v>
      </c>
      <c r="B39" s="28">
        <v>2023</v>
      </c>
      <c r="C39" s="29" t="s">
        <v>32</v>
      </c>
      <c r="D39" s="30" t="s">
        <v>58</v>
      </c>
      <c r="E39" s="31" t="s">
        <v>67</v>
      </c>
      <c r="F39" s="31">
        <v>125</v>
      </c>
      <c r="G39" s="31"/>
      <c r="H39" s="28" t="s">
        <v>38</v>
      </c>
      <c r="I39" s="28" t="s">
        <v>39</v>
      </c>
      <c r="J39" s="28">
        <v>14</v>
      </c>
      <c r="K39" s="28">
        <v>14</v>
      </c>
      <c r="L39" s="28"/>
      <c r="M39" s="28"/>
      <c r="N39" s="35">
        <f>208+154+816</f>
        <v>1178</v>
      </c>
      <c r="O39" s="36">
        <f t="shared" si="3"/>
        <v>981.66666666666674</v>
      </c>
      <c r="P39" s="36"/>
      <c r="Q39" s="37">
        <f t="shared" si="4"/>
        <v>1040.5666666666668</v>
      </c>
      <c r="R39" s="37"/>
      <c r="S39" s="37"/>
      <c r="T39" s="37">
        <f t="shared" si="5"/>
        <v>14567.933333333336</v>
      </c>
      <c r="V39" s="38">
        <f t="shared" si="6"/>
        <v>14567.93</v>
      </c>
      <c r="X39" s="38">
        <f t="shared" si="7"/>
        <v>0.0033333333358314121</v>
      </c>
    </row>
    <row r="40" ht="27.199999999999999">
      <c r="A40" s="23" t="str">
        <f t="shared" si="2"/>
        <v xml:space="preserve">КЗСКЗС(Т)-57/125ППУ ПЭ</v>
      </c>
      <c r="B40" s="28">
        <v>2023</v>
      </c>
      <c r="C40" s="29" t="s">
        <v>32</v>
      </c>
      <c r="D40" s="30" t="s">
        <v>58</v>
      </c>
      <c r="E40" s="31" t="s">
        <v>68</v>
      </c>
      <c r="F40" s="31">
        <v>125</v>
      </c>
      <c r="G40" s="31"/>
      <c r="H40" s="28" t="s">
        <v>34</v>
      </c>
      <c r="I40" s="28" t="s">
        <v>39</v>
      </c>
      <c r="J40" s="28">
        <v>14</v>
      </c>
      <c r="K40" s="28">
        <v>14</v>
      </c>
      <c r="L40" s="28"/>
      <c r="M40" s="28"/>
      <c r="N40" s="35">
        <f>208+213+154</f>
        <v>575</v>
      </c>
      <c r="O40" s="36">
        <f t="shared" si="3"/>
        <v>479.16666666666669</v>
      </c>
      <c r="P40" s="36"/>
      <c r="Q40" s="37">
        <f t="shared" si="4"/>
        <v>507.91666666666669</v>
      </c>
      <c r="R40" s="37"/>
      <c r="S40" s="37"/>
      <c r="T40" s="37">
        <f t="shared" si="5"/>
        <v>7110.8333333333339</v>
      </c>
      <c r="V40" s="38">
        <f t="shared" si="6"/>
        <v>7110.8299999999999</v>
      </c>
      <c r="X40" s="38">
        <f t="shared" si="7"/>
        <v>0.0033333333340124227</v>
      </c>
    </row>
    <row r="41" ht="27.199999999999999">
      <c r="A41" s="23" t="str">
        <f t="shared" si="2"/>
        <v xml:space="preserve">КЗСКЗС(Ц)-40/125ППУ ОЦ</v>
      </c>
      <c r="B41" s="28">
        <v>2023</v>
      </c>
      <c r="C41" s="29" t="s">
        <v>32</v>
      </c>
      <c r="D41" s="30" t="s">
        <v>58</v>
      </c>
      <c r="E41" s="31" t="s">
        <v>69</v>
      </c>
      <c r="F41" s="31">
        <v>125</v>
      </c>
      <c r="G41" s="31"/>
      <c r="H41" s="28" t="s">
        <v>38</v>
      </c>
      <c r="I41" s="28" t="s">
        <v>39</v>
      </c>
      <c r="J41" s="28">
        <v>8</v>
      </c>
      <c r="K41" s="28">
        <v>8</v>
      </c>
      <c r="L41" s="28"/>
      <c r="M41" s="28"/>
      <c r="N41" s="35">
        <f>208+154+673</f>
        <v>1035</v>
      </c>
      <c r="O41" s="36">
        <f t="shared" si="3"/>
        <v>862.5</v>
      </c>
      <c r="P41" s="36"/>
      <c r="Q41" s="37">
        <f t="shared" si="4"/>
        <v>914.25</v>
      </c>
      <c r="R41" s="37"/>
      <c r="S41" s="37"/>
      <c r="T41" s="37">
        <f t="shared" si="5"/>
        <v>7314</v>
      </c>
      <c r="V41" s="38">
        <f t="shared" si="6"/>
        <v>7314</v>
      </c>
      <c r="X41" s="38">
        <f t="shared" si="7"/>
        <v>0</v>
      </c>
    </row>
    <row r="42" ht="12.75" customHeight="1">
      <c r="A42" s="23" t="str">
        <f t="shared" si="2"/>
        <v xml:space="preserve">расходные материалыгаз техническийгаз технический</v>
      </c>
      <c r="B42" s="28">
        <v>2023</v>
      </c>
      <c r="C42" s="29" t="s">
        <v>32</v>
      </c>
      <c r="D42" s="40" t="s">
        <v>70</v>
      </c>
      <c r="E42" s="31" t="s">
        <v>71</v>
      </c>
      <c r="F42" s="31"/>
      <c r="G42" s="31"/>
      <c r="H42" s="31" t="s">
        <v>71</v>
      </c>
      <c r="I42" s="28" t="s">
        <v>72</v>
      </c>
      <c r="J42" s="28">
        <v>14</v>
      </c>
      <c r="K42" s="28">
        <v>14</v>
      </c>
      <c r="L42" s="28"/>
      <c r="M42" s="28"/>
      <c r="N42" s="28"/>
      <c r="O42" s="37">
        <v>220</v>
      </c>
      <c r="P42" s="37"/>
      <c r="Q42" s="37">
        <f t="shared" si="4"/>
        <v>233.20000000000002</v>
      </c>
      <c r="R42" s="37"/>
      <c r="S42" s="37"/>
      <c r="T42" s="37">
        <f t="shared" si="5"/>
        <v>3264.8000000000002</v>
      </c>
      <c r="V42" s="38">
        <f t="shared" si="6"/>
        <v>3264.8000000000002</v>
      </c>
      <c r="X42" s="38">
        <f t="shared" si="7"/>
        <v>0</v>
      </c>
    </row>
    <row r="43" ht="40.75">
      <c r="A43" s="23" t="str">
        <f t="shared" si="2"/>
        <v xml:space="preserve">расходные материалыСмесь пропан-бутанаСмесь пропан-бутана</v>
      </c>
      <c r="B43" s="28">
        <v>2023</v>
      </c>
      <c r="C43" s="29" t="s">
        <v>32</v>
      </c>
      <c r="D43" s="40" t="s">
        <v>70</v>
      </c>
      <c r="E43" s="31" t="s">
        <v>73</v>
      </c>
      <c r="F43" s="31"/>
      <c r="G43" s="31"/>
      <c r="H43" s="31" t="s">
        <v>73</v>
      </c>
      <c r="I43" s="28" t="s">
        <v>74</v>
      </c>
      <c r="J43" s="28">
        <v>4</v>
      </c>
      <c r="K43" s="28">
        <v>4</v>
      </c>
      <c r="L43" s="28"/>
      <c r="M43" s="28"/>
      <c r="N43" s="28"/>
      <c r="O43" s="37">
        <v>1150</v>
      </c>
      <c r="P43" s="37"/>
      <c r="Q43" s="37">
        <f t="shared" si="4"/>
        <v>1219</v>
      </c>
      <c r="R43" s="37"/>
      <c r="S43" s="37"/>
      <c r="T43" s="37">
        <f t="shared" si="5"/>
        <v>4876</v>
      </c>
      <c r="V43" s="38">
        <f t="shared" si="6"/>
        <v>4876</v>
      </c>
      <c r="X43" s="38">
        <f t="shared" si="7"/>
        <v>0</v>
      </c>
    </row>
    <row r="44" ht="27.199999999999999">
      <c r="A44" s="23" t="str">
        <f t="shared" si="2"/>
        <v xml:space="preserve">расходные материалыЭлектродыЭлектроды</v>
      </c>
      <c r="B44" s="28">
        <v>2023</v>
      </c>
      <c r="C44" s="29" t="s">
        <v>32</v>
      </c>
      <c r="D44" s="40" t="s">
        <v>70</v>
      </c>
      <c r="E44" s="31" t="s">
        <v>75</v>
      </c>
      <c r="F44" s="31"/>
      <c r="G44" s="31"/>
      <c r="H44" s="31" t="s">
        <v>75</v>
      </c>
      <c r="I44" s="28" t="s">
        <v>76</v>
      </c>
      <c r="J44" s="28">
        <v>105</v>
      </c>
      <c r="K44" s="28">
        <v>105</v>
      </c>
      <c r="L44" s="28"/>
      <c r="M44" s="28"/>
      <c r="N44" s="28"/>
      <c r="O44" s="37">
        <v>347.56</v>
      </c>
      <c r="P44" s="37"/>
      <c r="Q44" s="37">
        <f t="shared" si="4"/>
        <v>368.41360000000003</v>
      </c>
      <c r="R44" s="37"/>
      <c r="S44" s="37"/>
      <c r="T44" s="37">
        <f t="shared" si="5"/>
        <v>38683.428</v>
      </c>
      <c r="V44" s="38">
        <f t="shared" si="6"/>
        <v>38683.43</v>
      </c>
      <c r="X44" s="38">
        <f t="shared" si="7"/>
        <v>-0.0020000000004074536</v>
      </c>
    </row>
    <row r="45" ht="27.199999999999999">
      <c r="A45" s="23" t="str">
        <f t="shared" si="2"/>
        <v xml:space="preserve">расходные материалыпроволока сварочнаяпроволока сварочная</v>
      </c>
      <c r="B45" s="28">
        <v>2023</v>
      </c>
      <c r="C45" s="29" t="s">
        <v>32</v>
      </c>
      <c r="D45" s="40" t="s">
        <v>70</v>
      </c>
      <c r="E45" s="41" t="s">
        <v>77</v>
      </c>
      <c r="F45" s="41"/>
      <c r="G45" s="41"/>
      <c r="H45" s="41" t="s">
        <v>77</v>
      </c>
      <c r="I45" s="28" t="s">
        <v>78</v>
      </c>
      <c r="J45" s="28">
        <v>4</v>
      </c>
      <c r="K45" s="28">
        <v>4</v>
      </c>
      <c r="L45" s="28"/>
      <c r="M45" s="28"/>
      <c r="N45" s="28"/>
      <c r="O45" s="37">
        <v>13481</v>
      </c>
      <c r="P45" s="37"/>
      <c r="Q45" s="37">
        <f t="shared" si="4"/>
        <v>14289.860000000001</v>
      </c>
      <c r="R45" s="37"/>
      <c r="S45" s="37"/>
      <c r="T45" s="37">
        <f t="shared" si="5"/>
        <v>57159.440000000002</v>
      </c>
      <c r="V45" s="38">
        <f t="shared" si="6"/>
        <v>57159.440000000002</v>
      </c>
      <c r="X45" s="38">
        <f t="shared" si="7"/>
        <v>0</v>
      </c>
    </row>
    <row r="46" ht="40.75">
      <c r="A46" s="23" t="str">
        <f t="shared" si="2"/>
        <v xml:space="preserve">расходные материалыкруг отрезной 230х2ммкруг отрезной 230х2мм</v>
      </c>
      <c r="B46" s="28">
        <v>2023</v>
      </c>
      <c r="C46" s="29" t="s">
        <v>32</v>
      </c>
      <c r="D46" s="40" t="s">
        <v>70</v>
      </c>
      <c r="E46" s="31" t="s">
        <v>79</v>
      </c>
      <c r="F46" s="31"/>
      <c r="G46" s="31"/>
      <c r="H46" s="31" t="s">
        <v>79</v>
      </c>
      <c r="I46" s="28" t="s">
        <v>39</v>
      </c>
      <c r="J46" s="28">
        <v>270</v>
      </c>
      <c r="K46" s="28">
        <v>270</v>
      </c>
      <c r="L46" s="28"/>
      <c r="M46" s="28"/>
      <c r="N46" s="28"/>
      <c r="O46" s="37">
        <v>168</v>
      </c>
      <c r="P46" s="37"/>
      <c r="Q46" s="37">
        <f t="shared" si="4"/>
        <v>178.08000000000001</v>
      </c>
      <c r="R46" s="37"/>
      <c r="S46" s="37"/>
      <c r="T46" s="37">
        <f t="shared" si="5"/>
        <v>48081.600000000006</v>
      </c>
      <c r="V46" s="38">
        <f t="shared" si="6"/>
        <v>48081.599999999999</v>
      </c>
      <c r="X46" s="38">
        <f t="shared" si="7"/>
        <v>0</v>
      </c>
    </row>
    <row r="47" ht="27.199999999999999">
      <c r="A47" s="23" t="str">
        <f t="shared" si="2"/>
        <v xml:space="preserve">расходные материалыПесокПесок</v>
      </c>
      <c r="B47" s="28">
        <v>2023</v>
      </c>
      <c r="C47" s="29" t="s">
        <v>32</v>
      </c>
      <c r="D47" s="40" t="s">
        <v>70</v>
      </c>
      <c r="E47" s="40" t="s">
        <v>80</v>
      </c>
      <c r="F47" s="31"/>
      <c r="G47" s="31"/>
      <c r="H47" s="40" t="s">
        <v>80</v>
      </c>
      <c r="I47" s="28" t="s">
        <v>81</v>
      </c>
      <c r="J47" s="28">
        <v>90</v>
      </c>
      <c r="K47" s="28">
        <v>90</v>
      </c>
      <c r="L47" s="28"/>
      <c r="M47" s="28"/>
      <c r="N47" s="28"/>
      <c r="O47" s="37">
        <v>190</v>
      </c>
      <c r="P47" s="37"/>
      <c r="Q47" s="37">
        <f t="shared" si="4"/>
        <v>201.40000000000001</v>
      </c>
      <c r="R47" s="37"/>
      <c r="S47" s="37"/>
      <c r="T47" s="37">
        <f t="shared" si="5"/>
        <v>18126</v>
      </c>
      <c r="V47" s="38">
        <f t="shared" si="6"/>
        <v>18126</v>
      </c>
      <c r="X47" s="38">
        <f t="shared" si="7"/>
        <v>0</v>
      </c>
    </row>
    <row r="48" ht="27.199999999999999">
      <c r="A48" s="23" t="str">
        <f t="shared" si="2"/>
        <v xml:space="preserve">расходные материалыМастика резинобитумная  Мастика резинобитумная  </v>
      </c>
      <c r="B48" s="28">
        <v>2023</v>
      </c>
      <c r="C48" s="29" t="s">
        <v>32</v>
      </c>
      <c r="D48" s="40" t="s">
        <v>70</v>
      </c>
      <c r="E48" s="42" t="s">
        <v>82</v>
      </c>
      <c r="F48" s="31"/>
      <c r="G48" s="31"/>
      <c r="H48" s="42" t="s">
        <v>82</v>
      </c>
      <c r="I48" s="28" t="s">
        <v>83</v>
      </c>
      <c r="J48" s="28">
        <v>15</v>
      </c>
      <c r="K48" s="28">
        <v>15</v>
      </c>
      <c r="L48" s="28"/>
      <c r="M48" s="28"/>
      <c r="N48" s="28"/>
      <c r="O48" s="37">
        <v>290</v>
      </c>
      <c r="P48" s="37"/>
      <c r="Q48" s="37">
        <f t="shared" si="4"/>
        <v>307.40000000000003</v>
      </c>
      <c r="R48" s="37"/>
      <c r="S48" s="37"/>
      <c r="T48" s="37">
        <f t="shared" si="5"/>
        <v>4611.0000000000009</v>
      </c>
      <c r="U48" s="38">
        <f>SUM(T4:T48)</f>
        <v>5099678.8679999998</v>
      </c>
      <c r="V48" s="38">
        <f t="shared" si="6"/>
        <v>4611</v>
      </c>
      <c r="W48" s="38">
        <f>SUM(V4:V48)</f>
        <v>4864270.5099999998</v>
      </c>
      <c r="X48" s="38">
        <f t="shared" si="7"/>
        <v>0</v>
      </c>
    </row>
    <row r="49" ht="67.950000000000003">
      <c r="A49" s="23" t="str">
        <f t="shared" ref="A49:A106" si="8">D49&amp;E49&amp;H49</f>
        <v xml:space="preserve">труба219ППУ ПЭ</v>
      </c>
      <c r="B49" s="43">
        <v>2023</v>
      </c>
      <c r="C49" s="44" t="s">
        <v>84</v>
      </c>
      <c r="D49" s="45" t="s">
        <v>33</v>
      </c>
      <c r="E49" s="46">
        <v>219</v>
      </c>
      <c r="F49" s="46">
        <v>315</v>
      </c>
      <c r="G49" s="46"/>
      <c r="H49" s="43" t="s">
        <v>34</v>
      </c>
      <c r="I49" s="43" t="s">
        <v>35</v>
      </c>
      <c r="J49" s="43">
        <v>240</v>
      </c>
      <c r="K49" s="47">
        <v>240</v>
      </c>
      <c r="L49" s="43"/>
      <c r="M49" s="43"/>
      <c r="N49" s="35">
        <v>5110</v>
      </c>
      <c r="O49" s="36">
        <f t="shared" ref="O49:O99" si="9">N49/1.2</f>
        <v>4258.3333333333339</v>
      </c>
      <c r="P49" s="36"/>
      <c r="Q49" s="37">
        <f t="shared" si="4"/>
        <v>4513.8333333333339</v>
      </c>
      <c r="R49" s="48"/>
      <c r="S49" s="48"/>
      <c r="T49" s="48">
        <f t="shared" si="5"/>
        <v>1083320.0000000002</v>
      </c>
      <c r="V49" s="38">
        <f t="shared" si="6"/>
        <v>1083320</v>
      </c>
      <c r="X49" s="38">
        <f t="shared" si="7"/>
        <v>0</v>
      </c>
    </row>
    <row r="50" ht="67.950000000000003">
      <c r="A50" s="23" t="str">
        <f t="shared" si="8"/>
        <v xml:space="preserve">отводы219ППУ ПЭ</v>
      </c>
      <c r="B50" s="43">
        <v>2023</v>
      </c>
      <c r="C50" s="44" t="s">
        <v>84</v>
      </c>
      <c r="D50" s="45" t="s">
        <v>36</v>
      </c>
      <c r="E50" s="46">
        <v>219</v>
      </c>
      <c r="F50" s="46">
        <v>315</v>
      </c>
      <c r="G50" s="46"/>
      <c r="H50" s="43" t="s">
        <v>34</v>
      </c>
      <c r="I50" s="43" t="s">
        <v>39</v>
      </c>
      <c r="J50" s="43">
        <v>6</v>
      </c>
      <c r="K50" s="49">
        <v>6</v>
      </c>
      <c r="L50" s="43"/>
      <c r="M50" s="43"/>
      <c r="N50" s="35">
        <v>9500</v>
      </c>
      <c r="O50" s="36">
        <f t="shared" si="9"/>
        <v>7916.666666666667</v>
      </c>
      <c r="P50" s="36"/>
      <c r="Q50" s="37">
        <f t="shared" si="4"/>
        <v>8391.6666666666679</v>
      </c>
      <c r="R50" s="48"/>
      <c r="S50" s="48"/>
      <c r="T50" s="48">
        <f t="shared" si="5"/>
        <v>50350.000000000007</v>
      </c>
      <c r="V50" s="38">
        <f t="shared" si="6"/>
        <v>50350</v>
      </c>
      <c r="X50" s="38">
        <f t="shared" si="7"/>
        <v>0</v>
      </c>
    </row>
    <row r="51" ht="67.950000000000003">
      <c r="A51" s="23" t="str">
        <f t="shared" si="8"/>
        <v xml:space="preserve">КЗСКЗС(Т)-219/315ППУ ПЭ</v>
      </c>
      <c r="B51" s="43">
        <v>2023</v>
      </c>
      <c r="C51" s="44" t="s">
        <v>84</v>
      </c>
      <c r="D51" s="45" t="s">
        <v>58</v>
      </c>
      <c r="E51" s="46" t="s">
        <v>60</v>
      </c>
      <c r="F51" s="46">
        <v>315</v>
      </c>
      <c r="G51" s="46"/>
      <c r="H51" s="43" t="s">
        <v>34</v>
      </c>
      <c r="I51" s="43" t="s">
        <v>39</v>
      </c>
      <c r="J51" s="43">
        <v>26</v>
      </c>
      <c r="K51" s="43">
        <v>26</v>
      </c>
      <c r="L51" s="43"/>
      <c r="M51" s="43"/>
      <c r="N51" s="35">
        <f>208+948+550</f>
        <v>1706</v>
      </c>
      <c r="O51" s="36">
        <f t="shared" si="9"/>
        <v>1421.6666666666667</v>
      </c>
      <c r="P51" s="36"/>
      <c r="Q51" s="37">
        <f t="shared" si="4"/>
        <v>1506.9666666666669</v>
      </c>
      <c r="R51" s="48"/>
      <c r="S51" s="48"/>
      <c r="T51" s="48">
        <f t="shared" si="5"/>
        <v>39181.133333333339</v>
      </c>
      <c r="U51" s="38"/>
      <c r="V51" s="38">
        <f t="shared" si="6"/>
        <v>39181.129999999997</v>
      </c>
      <c r="X51" s="38">
        <f t="shared" si="7"/>
        <v>0.0033333333412883803</v>
      </c>
    </row>
    <row r="52" ht="12.75" customHeight="1">
      <c r="A52" s="23" t="str">
        <f t="shared" si="8"/>
        <v xml:space="preserve">расходные материалыгаз техническийгаз технический</v>
      </c>
      <c r="B52" s="43">
        <v>2023</v>
      </c>
      <c r="C52" s="44" t="s">
        <v>84</v>
      </c>
      <c r="D52" s="50" t="s">
        <v>70</v>
      </c>
      <c r="E52" s="46" t="s">
        <v>71</v>
      </c>
      <c r="F52" s="46"/>
      <c r="G52" s="46"/>
      <c r="H52" s="46" t="s">
        <v>71</v>
      </c>
      <c r="I52" s="43" t="s">
        <v>72</v>
      </c>
      <c r="J52" s="43">
        <v>2</v>
      </c>
      <c r="K52" s="43">
        <v>2</v>
      </c>
      <c r="L52" s="43"/>
      <c r="M52" s="43"/>
      <c r="N52" s="43"/>
      <c r="O52" s="48">
        <v>220</v>
      </c>
      <c r="P52" s="48"/>
      <c r="Q52" s="37">
        <f t="shared" si="4"/>
        <v>233.20000000000002</v>
      </c>
      <c r="R52" s="48"/>
      <c r="S52" s="48"/>
      <c r="T52" s="48">
        <f t="shared" si="5"/>
        <v>466.40000000000003</v>
      </c>
      <c r="V52" s="38">
        <f t="shared" si="6"/>
        <v>466.39999999999998</v>
      </c>
      <c r="X52" s="38">
        <f t="shared" si="7"/>
        <v>0</v>
      </c>
    </row>
    <row r="53" ht="67.950000000000003">
      <c r="A53" s="23" t="str">
        <f t="shared" si="8"/>
        <v xml:space="preserve">расходные материалыСмесь пропан-бутанаСмесь пропан-бутана</v>
      </c>
      <c r="B53" s="43">
        <v>2023</v>
      </c>
      <c r="C53" s="44" t="s">
        <v>84</v>
      </c>
      <c r="D53" s="50" t="s">
        <v>70</v>
      </c>
      <c r="E53" s="46" t="s">
        <v>73</v>
      </c>
      <c r="F53" s="46"/>
      <c r="G53" s="46"/>
      <c r="H53" s="46" t="s">
        <v>73</v>
      </c>
      <c r="I53" s="43" t="s">
        <v>74</v>
      </c>
      <c r="J53" s="43">
        <v>1</v>
      </c>
      <c r="K53" s="43">
        <v>1</v>
      </c>
      <c r="L53" s="43"/>
      <c r="M53" s="43"/>
      <c r="N53" s="43"/>
      <c r="O53" s="48">
        <v>1150</v>
      </c>
      <c r="P53" s="48"/>
      <c r="Q53" s="37">
        <f t="shared" si="4"/>
        <v>1219</v>
      </c>
      <c r="R53" s="48"/>
      <c r="S53" s="48"/>
      <c r="T53" s="48">
        <f t="shared" si="5"/>
        <v>1219</v>
      </c>
      <c r="V53" s="38">
        <f t="shared" si="6"/>
        <v>1219</v>
      </c>
      <c r="X53" s="38">
        <f t="shared" si="7"/>
        <v>0</v>
      </c>
    </row>
    <row r="54" ht="67.950000000000003">
      <c r="A54" s="23" t="str">
        <f t="shared" si="8"/>
        <v xml:space="preserve">расходные материалыЭлектродыЭлектроды</v>
      </c>
      <c r="B54" s="43">
        <v>2023</v>
      </c>
      <c r="C54" s="44" t="s">
        <v>84</v>
      </c>
      <c r="D54" s="50" t="s">
        <v>70</v>
      </c>
      <c r="E54" s="46" t="s">
        <v>75</v>
      </c>
      <c r="F54" s="46"/>
      <c r="G54" s="46"/>
      <c r="H54" s="46" t="s">
        <v>75</v>
      </c>
      <c r="I54" s="43" t="s">
        <v>76</v>
      </c>
      <c r="J54" s="43">
        <v>45</v>
      </c>
      <c r="K54" s="43">
        <v>45</v>
      </c>
      <c r="L54" s="43"/>
      <c r="M54" s="43"/>
      <c r="N54" s="43"/>
      <c r="O54" s="48">
        <v>347.56</v>
      </c>
      <c r="P54" s="48"/>
      <c r="Q54" s="37">
        <f t="shared" si="4"/>
        <v>368.41360000000003</v>
      </c>
      <c r="R54" s="48"/>
      <c r="S54" s="48"/>
      <c r="T54" s="48">
        <f t="shared" si="5"/>
        <v>16578.612000000001</v>
      </c>
      <c r="V54" s="38">
        <f t="shared" si="6"/>
        <v>16578.610000000001</v>
      </c>
      <c r="X54" s="38">
        <f t="shared" si="7"/>
        <v>0.0020000000004074536</v>
      </c>
    </row>
    <row r="55" ht="67.950000000000003">
      <c r="A55" s="23" t="str">
        <f t="shared" si="8"/>
        <v xml:space="preserve">расходные материалыпроволока сварочнаяпроволока сварочная</v>
      </c>
      <c r="B55" s="43">
        <v>2023</v>
      </c>
      <c r="C55" s="44" t="s">
        <v>84</v>
      </c>
      <c r="D55" s="50" t="s">
        <v>70</v>
      </c>
      <c r="E55" s="51" t="s">
        <v>77</v>
      </c>
      <c r="F55" s="51"/>
      <c r="G55" s="51"/>
      <c r="H55" s="51" t="s">
        <v>77</v>
      </c>
      <c r="I55" s="43" t="s">
        <v>78</v>
      </c>
      <c r="J55" s="43">
        <v>4</v>
      </c>
      <c r="K55" s="43">
        <v>4</v>
      </c>
      <c r="L55" s="43"/>
      <c r="M55" s="43"/>
      <c r="N55" s="43"/>
      <c r="O55" s="48">
        <v>13481</v>
      </c>
      <c r="P55" s="48"/>
      <c r="Q55" s="37">
        <f t="shared" si="4"/>
        <v>14289.860000000001</v>
      </c>
      <c r="R55" s="48"/>
      <c r="S55" s="48"/>
      <c r="T55" s="48">
        <f t="shared" si="5"/>
        <v>57159.440000000002</v>
      </c>
      <c r="V55" s="38">
        <f t="shared" si="6"/>
        <v>57159.440000000002</v>
      </c>
      <c r="X55" s="38">
        <f t="shared" si="7"/>
        <v>0</v>
      </c>
    </row>
    <row r="56" ht="67.950000000000003">
      <c r="A56" s="23" t="str">
        <f t="shared" si="8"/>
        <v xml:space="preserve">расходные материалыкруг отрезной 230х2ммкруг отрезной 230х2мм</v>
      </c>
      <c r="B56" s="43">
        <v>2023</v>
      </c>
      <c r="C56" s="44" t="s">
        <v>84</v>
      </c>
      <c r="D56" s="50" t="s">
        <v>70</v>
      </c>
      <c r="E56" s="46" t="s">
        <v>79</v>
      </c>
      <c r="F56" s="46"/>
      <c r="G56" s="46"/>
      <c r="H56" s="46" t="s">
        <v>79</v>
      </c>
      <c r="I56" s="43" t="s">
        <v>39</v>
      </c>
      <c r="J56" s="43">
        <v>20</v>
      </c>
      <c r="K56" s="43">
        <v>20</v>
      </c>
      <c r="L56" s="43"/>
      <c r="M56" s="43"/>
      <c r="N56" s="43"/>
      <c r="O56" s="48">
        <v>168</v>
      </c>
      <c r="P56" s="48"/>
      <c r="Q56" s="37">
        <f t="shared" si="4"/>
        <v>178.08000000000001</v>
      </c>
      <c r="R56" s="48"/>
      <c r="S56" s="48"/>
      <c r="T56" s="48">
        <f t="shared" si="5"/>
        <v>3561.6000000000004</v>
      </c>
      <c r="V56" s="38">
        <f t="shared" si="6"/>
        <v>3561.5999999999999</v>
      </c>
      <c r="X56" s="38">
        <f t="shared" si="7"/>
        <v>0</v>
      </c>
    </row>
    <row r="57" ht="67.950000000000003">
      <c r="A57" s="23" t="str">
        <f t="shared" si="8"/>
        <v xml:space="preserve">расходные материалыПесокПесок</v>
      </c>
      <c r="B57" s="43">
        <v>2023</v>
      </c>
      <c r="C57" s="44" t="s">
        <v>84</v>
      </c>
      <c r="D57" s="50" t="s">
        <v>70</v>
      </c>
      <c r="E57" s="50" t="s">
        <v>80</v>
      </c>
      <c r="F57" s="46"/>
      <c r="G57" s="46"/>
      <c r="H57" s="50" t="s">
        <v>80</v>
      </c>
      <c r="I57" s="43" t="s">
        <v>81</v>
      </c>
      <c r="J57" s="43">
        <v>22</v>
      </c>
      <c r="K57" s="43">
        <v>22</v>
      </c>
      <c r="L57" s="43"/>
      <c r="M57" s="43"/>
      <c r="N57" s="43"/>
      <c r="O57" s="48">
        <v>190</v>
      </c>
      <c r="P57" s="48"/>
      <c r="Q57" s="37">
        <f t="shared" si="4"/>
        <v>201.40000000000001</v>
      </c>
      <c r="R57" s="48"/>
      <c r="S57" s="48"/>
      <c r="T57" s="48">
        <f t="shared" si="5"/>
        <v>4430.8000000000002</v>
      </c>
      <c r="V57" s="38">
        <f t="shared" si="6"/>
        <v>4430.8000000000002</v>
      </c>
      <c r="X57" s="38">
        <f t="shared" si="7"/>
        <v>0</v>
      </c>
    </row>
    <row r="58" ht="67.950000000000003">
      <c r="A58" s="23" t="str">
        <f t="shared" si="8"/>
        <v xml:space="preserve">расходные материалыМастика резинобитумная  Мастика резинобитумная  </v>
      </c>
      <c r="B58" s="43">
        <v>2023</v>
      </c>
      <c r="C58" s="44" t="s">
        <v>84</v>
      </c>
      <c r="D58" s="50" t="s">
        <v>70</v>
      </c>
      <c r="E58" s="52" t="s">
        <v>82</v>
      </c>
      <c r="F58" s="46"/>
      <c r="G58" s="46"/>
      <c r="H58" s="52" t="s">
        <v>82</v>
      </c>
      <c r="I58" s="43" t="s">
        <v>83</v>
      </c>
      <c r="J58" s="43">
        <v>3</v>
      </c>
      <c r="K58" s="43">
        <v>3</v>
      </c>
      <c r="L58" s="43"/>
      <c r="M58" s="43"/>
      <c r="N58" s="43"/>
      <c r="O58" s="48">
        <v>290</v>
      </c>
      <c r="P58" s="48"/>
      <c r="Q58" s="37">
        <f t="shared" si="4"/>
        <v>307.40000000000003</v>
      </c>
      <c r="R58" s="48"/>
      <c r="S58" s="48"/>
      <c r="T58" s="48">
        <f t="shared" si="5"/>
        <v>922.20000000000005</v>
      </c>
      <c r="U58" s="38">
        <f>SUM(T49:T58)</f>
        <v>1257189.1853333334</v>
      </c>
      <c r="V58" s="38">
        <f t="shared" si="6"/>
        <v>922.20000000000005</v>
      </c>
      <c r="W58" s="38">
        <f>SUM(V49:V58)</f>
        <v>1257189.1799999999</v>
      </c>
      <c r="X58" s="38">
        <f t="shared" si="7"/>
        <v>0</v>
      </c>
    </row>
    <row r="59" ht="67.950000000000003">
      <c r="A59" s="23" t="str">
        <f t="shared" si="8"/>
        <v xml:space="preserve">труба133ППУ ПЭ</v>
      </c>
      <c r="B59" s="53">
        <v>2023</v>
      </c>
      <c r="C59" s="54" t="s">
        <v>84</v>
      </c>
      <c r="D59" s="55" t="s">
        <v>33</v>
      </c>
      <c r="E59" s="56">
        <v>133</v>
      </c>
      <c r="F59" s="56">
        <v>225</v>
      </c>
      <c r="G59" s="56" t="s">
        <v>42</v>
      </c>
      <c r="H59" s="56" t="s">
        <v>34</v>
      </c>
      <c r="I59" s="53" t="s">
        <v>35</v>
      </c>
      <c r="J59" s="53">
        <v>60</v>
      </c>
      <c r="K59" s="57">
        <v>0</v>
      </c>
      <c r="L59" s="53"/>
      <c r="M59" s="53"/>
      <c r="N59" s="35">
        <v>2423</v>
      </c>
      <c r="O59" s="36">
        <f t="shared" si="9"/>
        <v>2019.1666666666667</v>
      </c>
      <c r="P59" s="36"/>
      <c r="Q59" s="37">
        <f t="shared" si="4"/>
        <v>2140.3166666666671</v>
      </c>
      <c r="R59" s="58"/>
      <c r="S59" s="58"/>
      <c r="T59" s="58">
        <f t="shared" si="5"/>
        <v>128419.00000000003</v>
      </c>
      <c r="V59" s="38">
        <f t="shared" si="6"/>
        <v>0</v>
      </c>
      <c r="X59" s="38">
        <f t="shared" si="7"/>
        <v>128419.00000000003</v>
      </c>
    </row>
    <row r="60" ht="67.950000000000003">
      <c r="A60" s="23" t="str">
        <f t="shared" si="8"/>
        <v xml:space="preserve">отводы133ППУ ПЭ</v>
      </c>
      <c r="B60" s="53">
        <v>2023</v>
      </c>
      <c r="C60" s="54" t="s">
        <v>84</v>
      </c>
      <c r="D60" s="55" t="s">
        <v>36</v>
      </c>
      <c r="E60" s="56">
        <v>133</v>
      </c>
      <c r="F60" s="56">
        <v>225</v>
      </c>
      <c r="G60" s="56"/>
      <c r="H60" s="53" t="s">
        <v>34</v>
      </c>
      <c r="I60" s="53" t="s">
        <v>39</v>
      </c>
      <c r="J60" s="53">
        <v>4</v>
      </c>
      <c r="K60" s="57">
        <v>4</v>
      </c>
      <c r="L60" s="53"/>
      <c r="M60" s="53"/>
      <c r="N60" s="35">
        <v>4600</v>
      </c>
      <c r="O60" s="36">
        <f t="shared" si="9"/>
        <v>3833.3333333333335</v>
      </c>
      <c r="P60" s="36"/>
      <c r="Q60" s="37">
        <f t="shared" si="4"/>
        <v>4063.3333333333335</v>
      </c>
      <c r="R60" s="58"/>
      <c r="S60" s="58"/>
      <c r="T60" s="58">
        <f t="shared" si="5"/>
        <v>16253.333333333334</v>
      </c>
      <c r="V60" s="38">
        <f t="shared" si="6"/>
        <v>16253.33</v>
      </c>
      <c r="X60" s="38">
        <f t="shared" si="7"/>
        <v>0.0033333333340124227</v>
      </c>
    </row>
    <row r="61" ht="67.950000000000003">
      <c r="A61" s="23" t="str">
        <f t="shared" si="8"/>
        <v xml:space="preserve">КЗСКЗС(Т)-133/225ППУ ПЭ</v>
      </c>
      <c r="B61" s="53">
        <v>2023</v>
      </c>
      <c r="C61" s="54" t="s">
        <v>84</v>
      </c>
      <c r="D61" s="55" t="s">
        <v>58</v>
      </c>
      <c r="E61" s="56" t="s">
        <v>85</v>
      </c>
      <c r="F61" s="56">
        <v>225</v>
      </c>
      <c r="G61" s="56"/>
      <c r="H61" s="53" t="s">
        <v>34</v>
      </c>
      <c r="I61" s="53" t="s">
        <v>39</v>
      </c>
      <c r="J61" s="53">
        <v>14</v>
      </c>
      <c r="K61" s="53">
        <v>14</v>
      </c>
      <c r="L61" s="53"/>
      <c r="M61" s="53"/>
      <c r="N61" s="35">
        <f>208+516+353</f>
        <v>1077</v>
      </c>
      <c r="O61" s="36">
        <f t="shared" si="9"/>
        <v>897.5</v>
      </c>
      <c r="P61" s="36"/>
      <c r="Q61" s="37">
        <f t="shared" si="4"/>
        <v>951.35000000000002</v>
      </c>
      <c r="R61" s="58"/>
      <c r="S61" s="58"/>
      <c r="T61" s="58">
        <f t="shared" si="5"/>
        <v>13318.9</v>
      </c>
      <c r="V61" s="38">
        <f t="shared" si="6"/>
        <v>13318.9</v>
      </c>
      <c r="X61" s="38">
        <f t="shared" si="7"/>
        <v>0</v>
      </c>
    </row>
    <row r="62" ht="68.599999999999994" customHeight="1">
      <c r="A62" s="23" t="str">
        <f t="shared" si="8"/>
        <v xml:space="preserve">расходные материалыгаз техническийгаз технический</v>
      </c>
      <c r="B62" s="53">
        <v>2023</v>
      </c>
      <c r="C62" s="54" t="s">
        <v>84</v>
      </c>
      <c r="D62" s="59" t="s">
        <v>70</v>
      </c>
      <c r="E62" s="56" t="s">
        <v>71</v>
      </c>
      <c r="F62" s="56"/>
      <c r="G62" s="56"/>
      <c r="H62" s="56" t="s">
        <v>71</v>
      </c>
      <c r="I62" s="53" t="s">
        <v>72</v>
      </c>
      <c r="J62" s="53">
        <v>2</v>
      </c>
      <c r="K62" s="53">
        <v>2</v>
      </c>
      <c r="L62" s="53"/>
      <c r="M62" s="53"/>
      <c r="N62" s="53"/>
      <c r="O62" s="58">
        <v>220</v>
      </c>
      <c r="P62" s="58"/>
      <c r="Q62" s="37">
        <f t="shared" si="4"/>
        <v>233.20000000000002</v>
      </c>
      <c r="R62" s="58"/>
      <c r="S62" s="58"/>
      <c r="T62" s="58">
        <f t="shared" si="5"/>
        <v>466.40000000000003</v>
      </c>
      <c r="V62" s="38">
        <f t="shared" si="6"/>
        <v>466.39999999999998</v>
      </c>
      <c r="X62" s="38">
        <f t="shared" si="7"/>
        <v>0</v>
      </c>
    </row>
    <row r="63" ht="67.950000000000003">
      <c r="A63" s="23" t="str">
        <f t="shared" si="8"/>
        <v xml:space="preserve">расходные материалыСмесь пропан-бутанаСмесь пропан-бутана</v>
      </c>
      <c r="B63" s="53">
        <v>2023</v>
      </c>
      <c r="C63" s="54" t="s">
        <v>84</v>
      </c>
      <c r="D63" s="59" t="s">
        <v>70</v>
      </c>
      <c r="E63" s="56" t="s">
        <v>73</v>
      </c>
      <c r="F63" s="56"/>
      <c r="G63" s="56"/>
      <c r="H63" s="56" t="s">
        <v>73</v>
      </c>
      <c r="I63" s="53" t="s">
        <v>74</v>
      </c>
      <c r="J63" s="53">
        <v>1</v>
      </c>
      <c r="K63" s="53">
        <v>1</v>
      </c>
      <c r="L63" s="53"/>
      <c r="M63" s="53"/>
      <c r="N63" s="53"/>
      <c r="O63" s="58">
        <v>1150</v>
      </c>
      <c r="P63" s="58"/>
      <c r="Q63" s="37">
        <f t="shared" si="4"/>
        <v>1219</v>
      </c>
      <c r="R63" s="58"/>
      <c r="S63" s="58"/>
      <c r="T63" s="58">
        <f t="shared" si="5"/>
        <v>1219</v>
      </c>
      <c r="V63" s="38">
        <f t="shared" si="6"/>
        <v>1219</v>
      </c>
      <c r="X63" s="38">
        <f t="shared" si="7"/>
        <v>0</v>
      </c>
    </row>
    <row r="64" ht="67.950000000000003">
      <c r="A64" s="23" t="str">
        <f t="shared" si="8"/>
        <v xml:space="preserve">расходные материалыЭлектродыЭлектроды</v>
      </c>
      <c r="B64" s="53">
        <v>2023</v>
      </c>
      <c r="C64" s="54" t="s">
        <v>84</v>
      </c>
      <c r="D64" s="59" t="s">
        <v>70</v>
      </c>
      <c r="E64" s="56" t="s">
        <v>75</v>
      </c>
      <c r="F64" s="56"/>
      <c r="G64" s="56"/>
      <c r="H64" s="56" t="s">
        <v>75</v>
      </c>
      <c r="I64" s="53" t="s">
        <v>76</v>
      </c>
      <c r="J64" s="53">
        <v>45</v>
      </c>
      <c r="K64" s="53">
        <v>45</v>
      </c>
      <c r="L64" s="53"/>
      <c r="M64" s="53"/>
      <c r="N64" s="53"/>
      <c r="O64" s="58">
        <v>347.56</v>
      </c>
      <c r="P64" s="58"/>
      <c r="Q64" s="37">
        <f t="shared" si="4"/>
        <v>368.41360000000003</v>
      </c>
      <c r="R64" s="58"/>
      <c r="S64" s="58"/>
      <c r="T64" s="58">
        <f t="shared" si="5"/>
        <v>16578.612000000001</v>
      </c>
      <c r="V64" s="38">
        <f t="shared" si="6"/>
        <v>16578.610000000001</v>
      </c>
      <c r="X64" s="38">
        <f t="shared" si="7"/>
        <v>0.0020000000004074536</v>
      </c>
    </row>
    <row r="65" ht="60">
      <c r="A65" s="23" t="str">
        <f t="shared" si="8"/>
        <v xml:space="preserve">расходные материалыпроволока сварочнаяпроволока сварочная</v>
      </c>
      <c r="B65" s="53">
        <v>2023</v>
      </c>
      <c r="C65" s="54" t="s">
        <v>84</v>
      </c>
      <c r="D65" s="59" t="s">
        <v>70</v>
      </c>
      <c r="E65" s="60" t="s">
        <v>77</v>
      </c>
      <c r="F65" s="60"/>
      <c r="G65" s="60"/>
      <c r="H65" s="60" t="s">
        <v>77</v>
      </c>
      <c r="I65" s="53" t="s">
        <v>78</v>
      </c>
      <c r="J65" s="53">
        <v>4</v>
      </c>
      <c r="K65" s="53">
        <v>4</v>
      </c>
      <c r="L65" s="53"/>
      <c r="M65" s="53"/>
      <c r="N65" s="53"/>
      <c r="O65" s="58">
        <v>13481</v>
      </c>
      <c r="P65" s="58"/>
      <c r="Q65" s="37">
        <f t="shared" si="4"/>
        <v>14289.860000000001</v>
      </c>
      <c r="R65" s="58"/>
      <c r="S65" s="58"/>
      <c r="T65" s="58">
        <f t="shared" si="5"/>
        <v>57159.440000000002</v>
      </c>
      <c r="V65" s="38">
        <f t="shared" si="6"/>
        <v>57159.440000000002</v>
      </c>
      <c r="X65" s="38">
        <f t="shared" si="7"/>
        <v>0</v>
      </c>
    </row>
    <row r="66" ht="60">
      <c r="A66" s="23" t="str">
        <f t="shared" si="8"/>
        <v xml:space="preserve">расходные материалыкруг отрезной 230х2ммкруг отрезной 230х2мм</v>
      </c>
      <c r="B66" s="53">
        <v>2023</v>
      </c>
      <c r="C66" s="54" t="s">
        <v>84</v>
      </c>
      <c r="D66" s="59" t="s">
        <v>70</v>
      </c>
      <c r="E66" s="56" t="s">
        <v>79</v>
      </c>
      <c r="F66" s="56"/>
      <c r="G66" s="56"/>
      <c r="H66" s="56" t="s">
        <v>79</v>
      </c>
      <c r="I66" s="53" t="s">
        <v>39</v>
      </c>
      <c r="J66" s="53">
        <v>20</v>
      </c>
      <c r="K66" s="53">
        <v>20</v>
      </c>
      <c r="L66" s="53"/>
      <c r="M66" s="53"/>
      <c r="N66" s="53"/>
      <c r="O66" s="58">
        <v>168</v>
      </c>
      <c r="P66" s="58"/>
      <c r="Q66" s="37">
        <f t="shared" si="4"/>
        <v>178.08000000000001</v>
      </c>
      <c r="R66" s="58"/>
      <c r="S66" s="58"/>
      <c r="T66" s="58">
        <f t="shared" si="5"/>
        <v>3561.6000000000004</v>
      </c>
      <c r="V66" s="38">
        <f t="shared" si="6"/>
        <v>3561.5999999999999</v>
      </c>
      <c r="X66" s="38">
        <f t="shared" si="7"/>
        <v>0</v>
      </c>
    </row>
    <row r="67" ht="60">
      <c r="A67" s="23" t="str">
        <f t="shared" si="8"/>
        <v xml:space="preserve">расходные материалыПесокПесок</v>
      </c>
      <c r="B67" s="53">
        <v>2023</v>
      </c>
      <c r="C67" s="54" t="s">
        <v>84</v>
      </c>
      <c r="D67" s="59" t="s">
        <v>70</v>
      </c>
      <c r="E67" s="59" t="s">
        <v>80</v>
      </c>
      <c r="F67" s="56"/>
      <c r="G67" s="56"/>
      <c r="H67" s="59" t="s">
        <v>80</v>
      </c>
      <c r="I67" s="53" t="s">
        <v>81</v>
      </c>
      <c r="J67" s="53">
        <v>22</v>
      </c>
      <c r="K67" s="53">
        <v>22</v>
      </c>
      <c r="L67" s="53"/>
      <c r="M67" s="53"/>
      <c r="N67" s="53"/>
      <c r="O67" s="58">
        <v>190</v>
      </c>
      <c r="P67" s="58"/>
      <c r="Q67" s="37">
        <f t="shared" si="4"/>
        <v>201.40000000000001</v>
      </c>
      <c r="R67" s="58"/>
      <c r="S67" s="58"/>
      <c r="T67" s="58">
        <f t="shared" si="5"/>
        <v>4430.8000000000002</v>
      </c>
      <c r="V67" s="38">
        <f t="shared" si="6"/>
        <v>4430.8000000000002</v>
      </c>
      <c r="X67" s="38">
        <f t="shared" si="7"/>
        <v>0</v>
      </c>
    </row>
    <row r="68" ht="60">
      <c r="A68" s="23" t="str">
        <f t="shared" si="8"/>
        <v xml:space="preserve">расходные материалыМастика резинобитумная  Мастика резинобитумная  </v>
      </c>
      <c r="B68" s="53">
        <v>2023</v>
      </c>
      <c r="C68" s="54" t="s">
        <v>84</v>
      </c>
      <c r="D68" s="59" t="s">
        <v>70</v>
      </c>
      <c r="E68" s="61" t="s">
        <v>82</v>
      </c>
      <c r="F68" s="56"/>
      <c r="G68" s="56"/>
      <c r="H68" s="61" t="s">
        <v>82</v>
      </c>
      <c r="I68" s="53" t="s">
        <v>83</v>
      </c>
      <c r="J68" s="53">
        <v>3</v>
      </c>
      <c r="K68" s="53">
        <v>3</v>
      </c>
      <c r="L68" s="53"/>
      <c r="M68" s="53"/>
      <c r="N68" s="53"/>
      <c r="O68" s="58">
        <v>290</v>
      </c>
      <c r="P68" s="58"/>
      <c r="Q68" s="37">
        <f t="shared" ref="Q68:Q106" si="10">O68*1.06</f>
        <v>307.40000000000003</v>
      </c>
      <c r="R68" s="58"/>
      <c r="S68" s="58"/>
      <c r="T68" s="58">
        <f t="shared" ref="T68:T106" si="11">Q68*J68</f>
        <v>922.20000000000005</v>
      </c>
      <c r="U68" s="38">
        <f>SUM(T59:T68)</f>
        <v>242329.28533333336</v>
      </c>
      <c r="V68" s="38">
        <f t="shared" ref="V68:V106" si="12">ROUND(Q68*K68,2)</f>
        <v>922.20000000000005</v>
      </c>
      <c r="W68" s="38">
        <f>SUM(V59:V68)</f>
        <v>113910.28000000001</v>
      </c>
      <c r="X68" s="38">
        <f t="shared" ref="X68:X106" si="13">T68-V68</f>
        <v>0</v>
      </c>
    </row>
    <row r="69" ht="24">
      <c r="A69" s="23" t="str">
        <f t="shared" si="8"/>
        <v xml:space="preserve">труба57ППУ ОЦ</v>
      </c>
      <c r="B69" s="28">
        <v>2023</v>
      </c>
      <c r="C69" s="29" t="s">
        <v>86</v>
      </c>
      <c r="D69" s="30" t="s">
        <v>33</v>
      </c>
      <c r="E69" s="31">
        <v>57</v>
      </c>
      <c r="F69" s="31">
        <v>125</v>
      </c>
      <c r="G69" s="31"/>
      <c r="H69" s="31" t="s">
        <v>38</v>
      </c>
      <c r="I69" s="28" t="s">
        <v>35</v>
      </c>
      <c r="J69" s="28">
        <v>18</v>
      </c>
      <c r="K69" s="34">
        <v>18</v>
      </c>
      <c r="L69" s="28"/>
      <c r="M69" s="28"/>
      <c r="N69" s="35">
        <v>1390</v>
      </c>
      <c r="O69" s="36">
        <f t="shared" si="9"/>
        <v>1158.3333333333335</v>
      </c>
      <c r="P69" s="36"/>
      <c r="Q69" s="37">
        <f t="shared" si="10"/>
        <v>1227.8333333333335</v>
      </c>
      <c r="R69" s="37"/>
      <c r="S69" s="37"/>
      <c r="T69" s="37">
        <f t="shared" si="11"/>
        <v>22101.000000000004</v>
      </c>
      <c r="V69" s="38">
        <f t="shared" si="12"/>
        <v>22101</v>
      </c>
      <c r="X69" s="38">
        <f t="shared" si="13"/>
        <v>0</v>
      </c>
    </row>
    <row r="70" ht="24">
      <c r="A70" s="23" t="str">
        <f t="shared" si="8"/>
        <v xml:space="preserve">труба57ППУ ПЭ</v>
      </c>
      <c r="B70" s="28">
        <v>2023</v>
      </c>
      <c r="C70" s="29" t="s">
        <v>86</v>
      </c>
      <c r="D70" s="30" t="s">
        <v>33</v>
      </c>
      <c r="E70" s="31">
        <v>57</v>
      </c>
      <c r="F70" s="31">
        <v>125</v>
      </c>
      <c r="G70" s="31"/>
      <c r="H70" s="31" t="s">
        <v>34</v>
      </c>
      <c r="I70" s="28" t="s">
        <v>35</v>
      </c>
      <c r="J70" s="28">
        <v>102</v>
      </c>
      <c r="K70" s="34">
        <v>102</v>
      </c>
      <c r="L70" s="28"/>
      <c r="M70" s="28"/>
      <c r="N70" s="35">
        <v>1082</v>
      </c>
      <c r="O70" s="36">
        <f t="shared" si="9"/>
        <v>901.66666666666674</v>
      </c>
      <c r="P70" s="36"/>
      <c r="Q70" s="37">
        <f t="shared" si="10"/>
        <v>955.76666666666677</v>
      </c>
      <c r="R70" s="37"/>
      <c r="S70" s="37"/>
      <c r="T70" s="37">
        <f t="shared" si="11"/>
        <v>97488.200000000012</v>
      </c>
      <c r="V70" s="38">
        <f t="shared" si="12"/>
        <v>97488.199999999997</v>
      </c>
      <c r="X70" s="38">
        <f t="shared" si="13"/>
        <v>0</v>
      </c>
    </row>
    <row r="71" ht="24">
      <c r="A71" s="23" t="str">
        <f t="shared" si="8"/>
        <v xml:space="preserve">труба40ППУ ПЭ</v>
      </c>
      <c r="B71" s="28">
        <v>2023</v>
      </c>
      <c r="C71" s="29" t="s">
        <v>86</v>
      </c>
      <c r="D71" s="40" t="s">
        <v>33</v>
      </c>
      <c r="E71" s="42" t="s">
        <v>87</v>
      </c>
      <c r="F71" s="31">
        <v>125</v>
      </c>
      <c r="G71" s="31"/>
      <c r="H71" s="28" t="s">
        <v>34</v>
      </c>
      <c r="I71" s="28" t="s">
        <v>35</v>
      </c>
      <c r="J71" s="28">
        <v>89</v>
      </c>
      <c r="K71" s="34">
        <v>89</v>
      </c>
      <c r="L71" s="28"/>
      <c r="M71" s="28"/>
      <c r="N71" s="35">
        <v>1025</v>
      </c>
      <c r="O71" s="36">
        <f t="shared" si="9"/>
        <v>854.16666666666674</v>
      </c>
      <c r="P71" s="36"/>
      <c r="Q71" s="37">
        <f t="shared" si="10"/>
        <v>905.41666666666674</v>
      </c>
      <c r="R71" s="37"/>
      <c r="S71" s="37"/>
      <c r="T71" s="37">
        <f t="shared" si="11"/>
        <v>80582.083333333343</v>
      </c>
      <c r="V71" s="38">
        <f t="shared" si="12"/>
        <v>80582.080000000002</v>
      </c>
      <c r="X71" s="38">
        <f t="shared" si="13"/>
        <v>0.0033333333412883803</v>
      </c>
    </row>
    <row r="72" ht="24">
      <c r="A72" s="23" t="str">
        <f t="shared" si="8"/>
        <v xml:space="preserve">отводы57ППУ ОЦ</v>
      </c>
      <c r="B72" s="28">
        <v>2023</v>
      </c>
      <c r="C72" s="29" t="s">
        <v>86</v>
      </c>
      <c r="D72" s="30" t="s">
        <v>36</v>
      </c>
      <c r="E72" s="31">
        <v>57</v>
      </c>
      <c r="F72" s="31">
        <v>125</v>
      </c>
      <c r="G72" s="31"/>
      <c r="H72" s="31" t="s">
        <v>38</v>
      </c>
      <c r="I72" s="28" t="s">
        <v>39</v>
      </c>
      <c r="J72" s="28">
        <v>18</v>
      </c>
      <c r="K72" s="39">
        <v>18</v>
      </c>
      <c r="L72" s="28"/>
      <c r="M72" s="28"/>
      <c r="N72" s="35">
        <v>1750</v>
      </c>
      <c r="O72" s="36">
        <f t="shared" si="9"/>
        <v>1458.3333333333335</v>
      </c>
      <c r="P72" s="36"/>
      <c r="Q72" s="37">
        <f t="shared" si="10"/>
        <v>1545.8333333333335</v>
      </c>
      <c r="R72" s="37"/>
      <c r="S72" s="37"/>
      <c r="T72" s="37">
        <f t="shared" si="11"/>
        <v>27825.000000000004</v>
      </c>
      <c r="V72" s="38">
        <f t="shared" si="12"/>
        <v>27825</v>
      </c>
      <c r="X72" s="38">
        <f t="shared" si="13"/>
        <v>0</v>
      </c>
    </row>
    <row r="73" ht="84">
      <c r="A73" s="23" t="str">
        <f t="shared" si="8"/>
        <v xml:space="preserve">отводы57ППУ ПЭ</v>
      </c>
      <c r="B73" s="28">
        <v>2023</v>
      </c>
      <c r="C73" s="29" t="s">
        <v>86</v>
      </c>
      <c r="D73" s="30" t="s">
        <v>36</v>
      </c>
      <c r="E73" s="31">
        <v>57</v>
      </c>
      <c r="F73" s="31">
        <v>125</v>
      </c>
      <c r="G73" s="31" t="s">
        <v>88</v>
      </c>
      <c r="H73" s="31" t="s">
        <v>34</v>
      </c>
      <c r="I73" s="28" t="s">
        <v>39</v>
      </c>
      <c r="J73" s="28">
        <v>20</v>
      </c>
      <c r="K73" s="39">
        <v>16</v>
      </c>
      <c r="L73" s="28"/>
      <c r="M73" s="28"/>
      <c r="N73" s="35">
        <v>1750</v>
      </c>
      <c r="O73" s="36">
        <f t="shared" si="9"/>
        <v>1458.3333333333335</v>
      </c>
      <c r="P73" s="36"/>
      <c r="Q73" s="37">
        <f t="shared" si="10"/>
        <v>1545.8333333333335</v>
      </c>
      <c r="R73" s="37"/>
      <c r="S73" s="37"/>
      <c r="T73" s="37">
        <f t="shared" si="11"/>
        <v>30916.666666666672</v>
      </c>
      <c r="V73" s="38">
        <f t="shared" si="12"/>
        <v>24733.330000000002</v>
      </c>
      <c r="X73" s="38">
        <f t="shared" si="13"/>
        <v>6183.3366666666698</v>
      </c>
    </row>
    <row r="74" ht="24">
      <c r="A74" s="23" t="str">
        <f t="shared" si="8"/>
        <v xml:space="preserve">отводы40ППУ ОЦ</v>
      </c>
      <c r="B74" s="28">
        <v>2023</v>
      </c>
      <c r="C74" s="29" t="s">
        <v>86</v>
      </c>
      <c r="D74" s="30" t="s">
        <v>36</v>
      </c>
      <c r="E74" s="31">
        <v>40</v>
      </c>
      <c r="F74" s="31">
        <v>125</v>
      </c>
      <c r="G74" s="31" t="s">
        <v>42</v>
      </c>
      <c r="H74" s="31" t="s">
        <v>38</v>
      </c>
      <c r="I74" s="28" t="s">
        <v>39</v>
      </c>
      <c r="J74" s="28">
        <v>4</v>
      </c>
      <c r="K74" s="34">
        <v>0</v>
      </c>
      <c r="L74" s="28"/>
      <c r="M74" s="28"/>
      <c r="N74" s="35">
        <v>1650</v>
      </c>
      <c r="O74" s="36">
        <f t="shared" si="9"/>
        <v>1375</v>
      </c>
      <c r="P74" s="36"/>
      <c r="Q74" s="37">
        <f t="shared" si="10"/>
        <v>1457.5</v>
      </c>
      <c r="R74" s="37"/>
      <c r="S74" s="37"/>
      <c r="T74" s="37">
        <f t="shared" si="11"/>
        <v>5830</v>
      </c>
      <c r="V74" s="38">
        <f t="shared" si="12"/>
        <v>0</v>
      </c>
      <c r="X74" s="38">
        <f t="shared" si="13"/>
        <v>5830</v>
      </c>
    </row>
    <row r="75" ht="24">
      <c r="A75" s="23" t="str">
        <f t="shared" si="8"/>
        <v xml:space="preserve">отводы40ППУ ПЭ</v>
      </c>
      <c r="B75" s="28">
        <v>2023</v>
      </c>
      <c r="C75" s="29" t="s">
        <v>86</v>
      </c>
      <c r="D75" s="30" t="s">
        <v>36</v>
      </c>
      <c r="E75" s="31">
        <v>40</v>
      </c>
      <c r="F75" s="31">
        <v>125</v>
      </c>
      <c r="G75" s="31"/>
      <c r="H75" s="31" t="s">
        <v>34</v>
      </c>
      <c r="I75" s="28" t="s">
        <v>39</v>
      </c>
      <c r="J75" s="28">
        <v>10</v>
      </c>
      <c r="K75" s="39">
        <v>10</v>
      </c>
      <c r="L75" s="28"/>
      <c r="M75" s="28"/>
      <c r="N75" s="35">
        <v>1650</v>
      </c>
      <c r="O75" s="36">
        <f t="shared" si="9"/>
        <v>1375</v>
      </c>
      <c r="P75" s="36"/>
      <c r="Q75" s="37">
        <f t="shared" si="10"/>
        <v>1457.5</v>
      </c>
      <c r="R75" s="37"/>
      <c r="S75" s="37"/>
      <c r="T75" s="37">
        <f t="shared" si="11"/>
        <v>14575</v>
      </c>
      <c r="V75" s="38">
        <f t="shared" si="12"/>
        <v>14575</v>
      </c>
      <c r="X75" s="38">
        <f t="shared" si="13"/>
        <v>0</v>
      </c>
    </row>
    <row r="76" ht="24">
      <c r="A76" s="23" t="str">
        <f t="shared" si="8"/>
        <v xml:space="preserve">шар кран50шар кран</v>
      </c>
      <c r="B76" s="28">
        <v>2023</v>
      </c>
      <c r="C76" s="29" t="s">
        <v>86</v>
      </c>
      <c r="D76" s="40" t="s">
        <v>57</v>
      </c>
      <c r="E76" s="31">
        <v>50</v>
      </c>
      <c r="F76" s="31">
        <v>125</v>
      </c>
      <c r="G76" s="31"/>
      <c r="H76" s="30" t="s">
        <v>57</v>
      </c>
      <c r="I76" s="28" t="s">
        <v>39</v>
      </c>
      <c r="J76" s="28">
        <v>6</v>
      </c>
      <c r="K76" s="28">
        <v>6</v>
      </c>
      <c r="L76" s="28"/>
      <c r="M76" s="28"/>
      <c r="N76" s="35">
        <v>12000</v>
      </c>
      <c r="O76" s="36">
        <f t="shared" si="9"/>
        <v>10000</v>
      </c>
      <c r="P76" s="36"/>
      <c r="Q76" s="37">
        <f t="shared" si="10"/>
        <v>10600</v>
      </c>
      <c r="R76" s="37"/>
      <c r="S76" s="37"/>
      <c r="T76" s="37">
        <f t="shared" si="11"/>
        <v>63600</v>
      </c>
      <c r="V76" s="38">
        <f t="shared" si="12"/>
        <v>63600</v>
      </c>
      <c r="X76" s="38">
        <f t="shared" si="13"/>
        <v>0</v>
      </c>
    </row>
    <row r="77" ht="24">
      <c r="A77" s="23" t="str">
        <f t="shared" si="8"/>
        <v xml:space="preserve">шар кран40шар кран</v>
      </c>
      <c r="B77" s="28">
        <v>2023</v>
      </c>
      <c r="C77" s="29" t="s">
        <v>86</v>
      </c>
      <c r="D77" s="40" t="s">
        <v>57</v>
      </c>
      <c r="E77" s="31">
        <v>40</v>
      </c>
      <c r="F77" s="31">
        <v>125</v>
      </c>
      <c r="G77" s="31"/>
      <c r="H77" s="30" t="s">
        <v>57</v>
      </c>
      <c r="I77" s="28" t="s">
        <v>39</v>
      </c>
      <c r="J77" s="28">
        <v>4</v>
      </c>
      <c r="K77" s="28">
        <v>4</v>
      </c>
      <c r="L77" s="28"/>
      <c r="M77" s="28"/>
      <c r="N77" s="35">
        <v>10000</v>
      </c>
      <c r="O77" s="36">
        <f t="shared" si="9"/>
        <v>8333.3333333333339</v>
      </c>
      <c r="P77" s="36"/>
      <c r="Q77" s="37">
        <f t="shared" si="10"/>
        <v>8833.3333333333339</v>
      </c>
      <c r="R77" s="37"/>
      <c r="S77" s="37"/>
      <c r="T77" s="37">
        <f t="shared" si="11"/>
        <v>35333.333333333336</v>
      </c>
      <c r="V77" s="38">
        <f t="shared" si="12"/>
        <v>35333.330000000002</v>
      </c>
      <c r="X77" s="38">
        <f t="shared" si="13"/>
        <v>0.0033333333340124227</v>
      </c>
    </row>
    <row r="78" ht="24">
      <c r="A78" s="23" t="str">
        <f t="shared" si="8"/>
        <v xml:space="preserve">КЗСКЗС(Ц)-57/125ППУ ОЦ</v>
      </c>
      <c r="B78" s="28">
        <v>2023</v>
      </c>
      <c r="C78" s="29" t="s">
        <v>86</v>
      </c>
      <c r="D78" s="30" t="s">
        <v>58</v>
      </c>
      <c r="E78" s="31" t="s">
        <v>67</v>
      </c>
      <c r="F78" s="31">
        <v>125</v>
      </c>
      <c r="G78" s="31"/>
      <c r="H78" s="28" t="s">
        <v>38</v>
      </c>
      <c r="I78" s="28" t="s">
        <v>39</v>
      </c>
      <c r="J78" s="28">
        <f>4+36</f>
        <v>40</v>
      </c>
      <c r="K78" s="28">
        <f>4+36</f>
        <v>40</v>
      </c>
      <c r="L78" s="28"/>
      <c r="M78" s="28"/>
      <c r="N78" s="35">
        <f>208+154+816</f>
        <v>1178</v>
      </c>
      <c r="O78" s="36">
        <f t="shared" si="9"/>
        <v>981.66666666666674</v>
      </c>
      <c r="P78" s="36"/>
      <c r="Q78" s="37">
        <f t="shared" si="10"/>
        <v>1040.5666666666668</v>
      </c>
      <c r="R78" s="37"/>
      <c r="S78" s="37"/>
      <c r="T78" s="37">
        <f t="shared" si="11"/>
        <v>41622.666666666672</v>
      </c>
      <c r="V78" s="38">
        <f t="shared" si="12"/>
        <v>41622.669999999998</v>
      </c>
      <c r="X78" s="38">
        <f t="shared" si="13"/>
        <v>-0.0033333333267364651</v>
      </c>
    </row>
    <row r="79" ht="24">
      <c r="A79" s="23" t="str">
        <f t="shared" si="8"/>
        <v xml:space="preserve">КЗСКЗС(Т)-57/125ППУ ПЭ</v>
      </c>
      <c r="B79" s="28">
        <v>2023</v>
      </c>
      <c r="C79" s="29" t="s">
        <v>86</v>
      </c>
      <c r="D79" s="30" t="s">
        <v>58</v>
      </c>
      <c r="E79" s="31" t="s">
        <v>68</v>
      </c>
      <c r="F79" s="31">
        <v>125</v>
      </c>
      <c r="G79" s="31"/>
      <c r="H79" s="28" t="s">
        <v>34</v>
      </c>
      <c r="I79" s="31" t="s">
        <v>39</v>
      </c>
      <c r="J79" s="28">
        <f>12+40</f>
        <v>52</v>
      </c>
      <c r="K79" s="28">
        <f>12+40</f>
        <v>52</v>
      </c>
      <c r="L79" s="28"/>
      <c r="M79" s="28"/>
      <c r="N79" s="35">
        <f>208+213+154</f>
        <v>575</v>
      </c>
      <c r="O79" s="36">
        <f t="shared" si="9"/>
        <v>479.16666666666669</v>
      </c>
      <c r="P79" s="36"/>
      <c r="Q79" s="37">
        <f t="shared" si="10"/>
        <v>507.91666666666669</v>
      </c>
      <c r="R79" s="37"/>
      <c r="S79" s="37"/>
      <c r="T79" s="37">
        <f t="shared" si="11"/>
        <v>26411.666666666668</v>
      </c>
      <c r="V79" s="38">
        <f t="shared" si="12"/>
        <v>26411.669999999998</v>
      </c>
      <c r="X79" s="38">
        <f t="shared" si="13"/>
        <v>-0.0033333333303744439</v>
      </c>
    </row>
    <row r="80" ht="24">
      <c r="A80" s="23" t="str">
        <f t="shared" si="8"/>
        <v xml:space="preserve">КЗСКЗС(Ц)-40/125ППУ ОЦ</v>
      </c>
      <c r="B80" s="28">
        <v>2023</v>
      </c>
      <c r="C80" s="29" t="s">
        <v>86</v>
      </c>
      <c r="D80" s="40" t="s">
        <v>58</v>
      </c>
      <c r="E80" s="31" t="s">
        <v>69</v>
      </c>
      <c r="F80" s="31">
        <v>125</v>
      </c>
      <c r="G80" s="31"/>
      <c r="H80" s="28" t="s">
        <v>38</v>
      </c>
      <c r="I80" s="28" t="s">
        <v>39</v>
      </c>
      <c r="J80" s="28">
        <v>16</v>
      </c>
      <c r="K80" s="28">
        <v>16</v>
      </c>
      <c r="L80" s="28"/>
      <c r="M80" s="28"/>
      <c r="N80" s="35">
        <f>208+154+673</f>
        <v>1035</v>
      </c>
      <c r="O80" s="36">
        <f t="shared" si="9"/>
        <v>862.5</v>
      </c>
      <c r="P80" s="36"/>
      <c r="Q80" s="37">
        <f t="shared" si="10"/>
        <v>914.25</v>
      </c>
      <c r="R80" s="37"/>
      <c r="S80" s="37"/>
      <c r="T80" s="37">
        <f t="shared" si="11"/>
        <v>14628</v>
      </c>
      <c r="V80" s="38">
        <f t="shared" si="12"/>
        <v>14628</v>
      </c>
      <c r="X80" s="38">
        <f t="shared" si="13"/>
        <v>0</v>
      </c>
    </row>
    <row r="81" ht="24">
      <c r="A81" s="23" t="str">
        <f t="shared" si="8"/>
        <v xml:space="preserve">КЗСКЗС(Т)-40/125ППУ ПЭ</v>
      </c>
      <c r="B81" s="28">
        <v>2023</v>
      </c>
      <c r="C81" s="29" t="s">
        <v>86</v>
      </c>
      <c r="D81" s="40" t="s">
        <v>58</v>
      </c>
      <c r="E81" s="31" t="s">
        <v>89</v>
      </c>
      <c r="F81" s="31">
        <v>125</v>
      </c>
      <c r="G81" s="31"/>
      <c r="H81" s="28" t="s">
        <v>34</v>
      </c>
      <c r="I81" s="28" t="s">
        <v>39</v>
      </c>
      <c r="J81" s="28">
        <f>12+20</f>
        <v>32</v>
      </c>
      <c r="K81" s="28">
        <f>12+20</f>
        <v>32</v>
      </c>
      <c r="L81" s="28"/>
      <c r="M81" s="28"/>
      <c r="N81" s="35">
        <f>208+213+154</f>
        <v>575</v>
      </c>
      <c r="O81" s="36">
        <f t="shared" si="9"/>
        <v>479.16666666666669</v>
      </c>
      <c r="P81" s="36"/>
      <c r="Q81" s="37">
        <f t="shared" si="10"/>
        <v>507.91666666666669</v>
      </c>
      <c r="R81" s="37"/>
      <c r="S81" s="37"/>
      <c r="T81" s="37">
        <f t="shared" si="11"/>
        <v>16253.333333333334</v>
      </c>
      <c r="V81" s="38">
        <f t="shared" si="12"/>
        <v>16253.33</v>
      </c>
      <c r="X81" s="38">
        <f t="shared" si="13"/>
        <v>0.0033333333340124227</v>
      </c>
    </row>
    <row r="82" ht="12.75" customHeight="1">
      <c r="A82" s="23" t="str">
        <f t="shared" si="8"/>
        <v xml:space="preserve">расходные материалыгаз техническийгаз технический</v>
      </c>
      <c r="B82" s="28">
        <v>2023</v>
      </c>
      <c r="C82" s="29" t="s">
        <v>86</v>
      </c>
      <c r="D82" s="40" t="s">
        <v>70</v>
      </c>
      <c r="E82" s="31" t="s">
        <v>71</v>
      </c>
      <c r="F82" s="31"/>
      <c r="G82" s="31"/>
      <c r="H82" s="31" t="s">
        <v>71</v>
      </c>
      <c r="I82" s="28" t="s">
        <v>72</v>
      </c>
      <c r="J82" s="28">
        <v>4</v>
      </c>
      <c r="K82" s="28">
        <v>4</v>
      </c>
      <c r="L82" s="28"/>
      <c r="M82" s="28"/>
      <c r="N82" s="28"/>
      <c r="O82" s="37">
        <v>220</v>
      </c>
      <c r="P82" s="37"/>
      <c r="Q82" s="37">
        <f t="shared" si="10"/>
        <v>233.20000000000002</v>
      </c>
      <c r="R82" s="37"/>
      <c r="S82" s="37"/>
      <c r="T82" s="37">
        <f t="shared" si="11"/>
        <v>932.80000000000007</v>
      </c>
      <c r="V82" s="38">
        <f t="shared" si="12"/>
        <v>932.79999999999995</v>
      </c>
      <c r="X82" s="38">
        <f t="shared" si="13"/>
        <v>0</v>
      </c>
    </row>
    <row r="83" ht="36">
      <c r="A83" s="23" t="str">
        <f t="shared" si="8"/>
        <v xml:space="preserve">расходные материалыСмесь пропан-бутанаСмесь пропан-бутана</v>
      </c>
      <c r="B83" s="28">
        <v>2023</v>
      </c>
      <c r="C83" s="29" t="s">
        <v>86</v>
      </c>
      <c r="D83" s="40" t="s">
        <v>70</v>
      </c>
      <c r="E83" s="31" t="s">
        <v>73</v>
      </c>
      <c r="F83" s="31"/>
      <c r="G83" s="31"/>
      <c r="H83" s="31" t="s">
        <v>73</v>
      </c>
      <c r="I83" s="28" t="s">
        <v>74</v>
      </c>
      <c r="J83" s="28">
        <v>1</v>
      </c>
      <c r="K83" s="28">
        <v>1</v>
      </c>
      <c r="L83" s="28"/>
      <c r="M83" s="28"/>
      <c r="N83" s="28"/>
      <c r="O83" s="37">
        <v>1150</v>
      </c>
      <c r="P83" s="37"/>
      <c r="Q83" s="37">
        <f t="shared" si="10"/>
        <v>1219</v>
      </c>
      <c r="R83" s="37"/>
      <c r="S83" s="37"/>
      <c r="T83" s="37">
        <f t="shared" si="11"/>
        <v>1219</v>
      </c>
      <c r="V83" s="38">
        <f t="shared" si="12"/>
        <v>1219</v>
      </c>
      <c r="X83" s="38">
        <f t="shared" si="13"/>
        <v>0</v>
      </c>
    </row>
    <row r="84" ht="24">
      <c r="A84" s="23" t="str">
        <f t="shared" si="8"/>
        <v xml:space="preserve">расходные материалыЭлектродыЭлектроды</v>
      </c>
      <c r="B84" s="28">
        <v>2023</v>
      </c>
      <c r="C84" s="29" t="s">
        <v>86</v>
      </c>
      <c r="D84" s="40" t="s">
        <v>70</v>
      </c>
      <c r="E84" s="31" t="s">
        <v>75</v>
      </c>
      <c r="F84" s="31"/>
      <c r="G84" s="31"/>
      <c r="H84" s="31" t="s">
        <v>75</v>
      </c>
      <c r="I84" s="28" t="s">
        <v>76</v>
      </c>
      <c r="J84" s="28">
        <v>30</v>
      </c>
      <c r="K84" s="28">
        <v>30</v>
      </c>
      <c r="L84" s="28"/>
      <c r="M84" s="28"/>
      <c r="N84" s="28"/>
      <c r="O84" s="37">
        <v>347.56</v>
      </c>
      <c r="P84" s="37"/>
      <c r="Q84" s="37">
        <f t="shared" si="10"/>
        <v>368.41360000000003</v>
      </c>
      <c r="R84" s="37"/>
      <c r="S84" s="37"/>
      <c r="T84" s="37">
        <f t="shared" si="11"/>
        <v>11052.408000000001</v>
      </c>
      <c r="V84" s="38">
        <f t="shared" si="12"/>
        <v>11052.41</v>
      </c>
      <c r="X84" s="38">
        <f t="shared" si="13"/>
        <v>-0.0019999999985884642</v>
      </c>
    </row>
    <row r="85" ht="36">
      <c r="A85" s="23" t="str">
        <f t="shared" si="8"/>
        <v xml:space="preserve">расходные материалыпроволока сварочнаяпроволока сварочная</v>
      </c>
      <c r="B85" s="28">
        <v>2023</v>
      </c>
      <c r="C85" s="29" t="s">
        <v>86</v>
      </c>
      <c r="D85" s="40" t="s">
        <v>70</v>
      </c>
      <c r="E85" s="41" t="s">
        <v>77</v>
      </c>
      <c r="F85" s="41"/>
      <c r="G85" s="41"/>
      <c r="H85" s="41" t="s">
        <v>77</v>
      </c>
      <c r="I85" s="28" t="s">
        <v>78</v>
      </c>
      <c r="J85" s="28">
        <v>1</v>
      </c>
      <c r="K85" s="28">
        <v>1</v>
      </c>
      <c r="L85" s="28"/>
      <c r="M85" s="28"/>
      <c r="N85" s="28"/>
      <c r="O85" s="37">
        <v>13481</v>
      </c>
      <c r="P85" s="37"/>
      <c r="Q85" s="37">
        <f t="shared" si="10"/>
        <v>14289.860000000001</v>
      </c>
      <c r="R85" s="37"/>
      <c r="S85" s="37"/>
      <c r="T85" s="37">
        <f t="shared" si="11"/>
        <v>14289.860000000001</v>
      </c>
      <c r="V85" s="38">
        <f t="shared" si="12"/>
        <v>14289.860000000001</v>
      </c>
      <c r="X85" s="38">
        <f t="shared" si="13"/>
        <v>0</v>
      </c>
    </row>
    <row r="86" ht="36">
      <c r="A86" s="23" t="str">
        <f t="shared" si="8"/>
        <v xml:space="preserve">расходные материалыкруг отрезной 230х2ммкруг отрезной 230х2мм</v>
      </c>
      <c r="B86" s="28">
        <v>2023</v>
      </c>
      <c r="C86" s="29" t="s">
        <v>86</v>
      </c>
      <c r="D86" s="40" t="s">
        <v>70</v>
      </c>
      <c r="E86" s="31" t="s">
        <v>79</v>
      </c>
      <c r="F86" s="31"/>
      <c r="G86" s="31"/>
      <c r="H86" s="31" t="s">
        <v>79</v>
      </c>
      <c r="I86" s="28" t="s">
        <v>39</v>
      </c>
      <c r="J86" s="28">
        <v>128</v>
      </c>
      <c r="K86" s="28">
        <v>128</v>
      </c>
      <c r="L86" s="28"/>
      <c r="M86" s="28"/>
      <c r="N86" s="28"/>
      <c r="O86" s="37">
        <v>168</v>
      </c>
      <c r="P86" s="37"/>
      <c r="Q86" s="37">
        <f t="shared" si="10"/>
        <v>178.08000000000001</v>
      </c>
      <c r="R86" s="37"/>
      <c r="S86" s="37"/>
      <c r="T86" s="37">
        <f t="shared" si="11"/>
        <v>22794.240000000002</v>
      </c>
      <c r="V86" s="38">
        <f t="shared" si="12"/>
        <v>22794.240000000002</v>
      </c>
      <c r="X86" s="38">
        <f t="shared" si="13"/>
        <v>0</v>
      </c>
    </row>
    <row r="87" ht="24">
      <c r="A87" s="23" t="str">
        <f t="shared" si="8"/>
        <v xml:space="preserve">расходные материалыПесокПесок</v>
      </c>
      <c r="B87" s="28">
        <v>2023</v>
      </c>
      <c r="C87" s="29" t="s">
        <v>86</v>
      </c>
      <c r="D87" s="40" t="s">
        <v>70</v>
      </c>
      <c r="E87" s="40" t="s">
        <v>80</v>
      </c>
      <c r="F87" s="31"/>
      <c r="G87" s="31"/>
      <c r="H87" s="40" t="s">
        <v>80</v>
      </c>
      <c r="I87" s="28" t="s">
        <v>81</v>
      </c>
      <c r="J87" s="28">
        <v>26</v>
      </c>
      <c r="K87" s="28">
        <v>26</v>
      </c>
      <c r="L87" s="28"/>
      <c r="M87" s="28"/>
      <c r="N87" s="28"/>
      <c r="O87" s="37">
        <v>190</v>
      </c>
      <c r="P87" s="37"/>
      <c r="Q87" s="37">
        <f t="shared" si="10"/>
        <v>201.40000000000001</v>
      </c>
      <c r="R87" s="37"/>
      <c r="S87" s="37"/>
      <c r="T87" s="37">
        <f t="shared" si="11"/>
        <v>5236.4000000000005</v>
      </c>
      <c r="V87" s="38">
        <f t="shared" si="12"/>
        <v>5236.3999999999996</v>
      </c>
      <c r="X87" s="38">
        <f t="shared" si="13"/>
        <v>0</v>
      </c>
    </row>
    <row r="88" ht="24">
      <c r="A88" s="23" t="str">
        <f t="shared" si="8"/>
        <v xml:space="preserve">расходные материалыМастика резинобитумная  Мастика резинобитумная  </v>
      </c>
      <c r="B88" s="28">
        <v>2023</v>
      </c>
      <c r="C88" s="29" t="s">
        <v>86</v>
      </c>
      <c r="D88" s="62" t="s">
        <v>70</v>
      </c>
      <c r="E88" s="42" t="s">
        <v>82</v>
      </c>
      <c r="F88" s="31"/>
      <c r="G88" s="31"/>
      <c r="H88" s="42" t="s">
        <v>82</v>
      </c>
      <c r="I88" s="28" t="s">
        <v>83</v>
      </c>
      <c r="J88" s="28">
        <v>6</v>
      </c>
      <c r="K88" s="28">
        <v>6</v>
      </c>
      <c r="L88" s="28"/>
      <c r="M88" s="28"/>
      <c r="N88" s="28"/>
      <c r="O88" s="37">
        <v>290</v>
      </c>
      <c r="P88" s="37"/>
      <c r="Q88" s="37">
        <f t="shared" si="10"/>
        <v>307.40000000000003</v>
      </c>
      <c r="R88" s="37"/>
      <c r="S88" s="37"/>
      <c r="T88" s="37">
        <f t="shared" si="11"/>
        <v>1844.4000000000001</v>
      </c>
      <c r="U88" s="63">
        <f>SUM(T69:T88)</f>
        <v>534536.05800000008</v>
      </c>
      <c r="V88" s="38">
        <f t="shared" si="12"/>
        <v>1844.4000000000001</v>
      </c>
      <c r="W88" s="63">
        <f>SUM(V69:V88)</f>
        <v>522522.71999999997</v>
      </c>
      <c r="X88" s="38">
        <f t="shared" si="13"/>
        <v>0</v>
      </c>
    </row>
    <row r="89" ht="24">
      <c r="A89" s="23" t="str">
        <f t="shared" si="8"/>
        <v xml:space="preserve">труба57ППУ ОЦ</v>
      </c>
      <c r="B89" s="28">
        <v>2023</v>
      </c>
      <c r="C89" s="29" t="s">
        <v>90</v>
      </c>
      <c r="D89" s="30" t="s">
        <v>33</v>
      </c>
      <c r="E89" s="31">
        <v>57</v>
      </c>
      <c r="F89" s="31">
        <v>125</v>
      </c>
      <c r="G89" s="31"/>
      <c r="H89" s="31" t="s">
        <v>38</v>
      </c>
      <c r="I89" s="28" t="s">
        <v>35</v>
      </c>
      <c r="J89" s="28">
        <v>6</v>
      </c>
      <c r="K89" s="34">
        <v>6</v>
      </c>
      <c r="L89" s="28"/>
      <c r="M89" s="28"/>
      <c r="N89" s="35">
        <v>1390</v>
      </c>
      <c r="O89" s="36">
        <f t="shared" si="9"/>
        <v>1158.3333333333335</v>
      </c>
      <c r="P89" s="36"/>
      <c r="Q89" s="37">
        <f t="shared" si="10"/>
        <v>1227.8333333333335</v>
      </c>
      <c r="R89" s="37"/>
      <c r="S89" s="37"/>
      <c r="T89" s="37">
        <f t="shared" si="11"/>
        <v>7367.0000000000009</v>
      </c>
      <c r="V89" s="38">
        <f t="shared" si="12"/>
        <v>7367</v>
      </c>
      <c r="X89" s="38">
        <f t="shared" si="13"/>
        <v>0</v>
      </c>
    </row>
    <row r="90" ht="24">
      <c r="A90" s="23" t="str">
        <f t="shared" si="8"/>
        <v xml:space="preserve">труба57ППУ ПЭ</v>
      </c>
      <c r="B90" s="28">
        <v>2023</v>
      </c>
      <c r="C90" s="29" t="s">
        <v>90</v>
      </c>
      <c r="D90" s="30" t="s">
        <v>33</v>
      </c>
      <c r="E90" s="31">
        <v>57</v>
      </c>
      <c r="F90" s="31">
        <v>125</v>
      </c>
      <c r="G90" s="31" t="s">
        <v>42</v>
      </c>
      <c r="H90" s="31" t="s">
        <v>34</v>
      </c>
      <c r="I90" s="28" t="s">
        <v>35</v>
      </c>
      <c r="J90" s="28">
        <v>302</v>
      </c>
      <c r="K90" s="34">
        <v>160</v>
      </c>
      <c r="L90" s="28"/>
      <c r="M90" s="28"/>
      <c r="N90" s="35">
        <v>1082</v>
      </c>
      <c r="O90" s="36">
        <f t="shared" si="9"/>
        <v>901.66666666666674</v>
      </c>
      <c r="P90" s="36"/>
      <c r="Q90" s="37">
        <f t="shared" si="10"/>
        <v>955.76666666666677</v>
      </c>
      <c r="R90" s="37"/>
      <c r="S90" s="37"/>
      <c r="T90" s="37">
        <f t="shared" si="11"/>
        <v>288641.53333333338</v>
      </c>
      <c r="V90" s="38">
        <f t="shared" si="12"/>
        <v>152922.67000000001</v>
      </c>
      <c r="X90" s="38">
        <f t="shared" si="13"/>
        <v>135718.86333333337</v>
      </c>
    </row>
    <row r="91" ht="24">
      <c r="A91" s="23" t="str">
        <f t="shared" si="8"/>
        <v xml:space="preserve">отводы57ППУ ОЦ</v>
      </c>
      <c r="B91" s="28">
        <v>2023</v>
      </c>
      <c r="C91" s="29" t="s">
        <v>90</v>
      </c>
      <c r="D91" s="30" t="s">
        <v>36</v>
      </c>
      <c r="E91" s="31">
        <v>57</v>
      </c>
      <c r="F91" s="31">
        <v>125</v>
      </c>
      <c r="G91" s="31"/>
      <c r="H91" s="31" t="s">
        <v>38</v>
      </c>
      <c r="I91" s="28" t="s">
        <v>39</v>
      </c>
      <c r="J91" s="28">
        <v>16</v>
      </c>
      <c r="K91" s="39">
        <v>16</v>
      </c>
      <c r="L91" s="28"/>
      <c r="M91" s="28"/>
      <c r="N91" s="35">
        <v>1750</v>
      </c>
      <c r="O91" s="36">
        <f t="shared" si="9"/>
        <v>1458.3333333333335</v>
      </c>
      <c r="P91" s="36"/>
      <c r="Q91" s="37">
        <f t="shared" si="10"/>
        <v>1545.8333333333335</v>
      </c>
      <c r="R91" s="37"/>
      <c r="S91" s="37"/>
      <c r="T91" s="37">
        <f t="shared" si="11"/>
        <v>24733.333333333336</v>
      </c>
      <c r="V91" s="38">
        <f t="shared" si="12"/>
        <v>24733.330000000002</v>
      </c>
      <c r="X91" s="38">
        <f t="shared" si="13"/>
        <v>0.0033333333340124227</v>
      </c>
    </row>
    <row r="92" ht="84">
      <c r="A92" s="23" t="str">
        <f t="shared" si="8"/>
        <v xml:space="preserve">отводы57ППУ ПЭ</v>
      </c>
      <c r="B92" s="28">
        <v>2023</v>
      </c>
      <c r="C92" s="29" t="s">
        <v>90</v>
      </c>
      <c r="D92" s="30" t="s">
        <v>36</v>
      </c>
      <c r="E92" s="31">
        <v>57</v>
      </c>
      <c r="F92" s="31">
        <v>125</v>
      </c>
      <c r="G92" s="31" t="s">
        <v>88</v>
      </c>
      <c r="H92" s="31" t="s">
        <v>34</v>
      </c>
      <c r="I92" s="28" t="s">
        <v>39</v>
      </c>
      <c r="J92" s="28">
        <v>40</v>
      </c>
      <c r="K92" s="39">
        <v>20</v>
      </c>
      <c r="L92" s="28"/>
      <c r="M92" s="28"/>
      <c r="N92" s="35">
        <v>1750</v>
      </c>
      <c r="O92" s="36">
        <f t="shared" si="9"/>
        <v>1458.3333333333335</v>
      </c>
      <c r="P92" s="36"/>
      <c r="Q92" s="37">
        <f t="shared" si="10"/>
        <v>1545.8333333333335</v>
      </c>
      <c r="R92" s="37"/>
      <c r="S92" s="37"/>
      <c r="T92" s="37">
        <f t="shared" si="11"/>
        <v>61833.333333333343</v>
      </c>
      <c r="V92" s="38">
        <f t="shared" si="12"/>
        <v>30916.669999999998</v>
      </c>
      <c r="X92" s="38">
        <f t="shared" si="13"/>
        <v>30916.663333333345</v>
      </c>
    </row>
    <row r="93" ht="24">
      <c r="A93" s="23" t="str">
        <f t="shared" si="8"/>
        <v xml:space="preserve">переходы57/40ППУ ПЭ</v>
      </c>
      <c r="B93" s="28">
        <v>2023</v>
      </c>
      <c r="C93" s="29" t="s">
        <v>90</v>
      </c>
      <c r="D93" s="30" t="s">
        <v>43</v>
      </c>
      <c r="E93" s="31" t="s">
        <v>44</v>
      </c>
      <c r="F93" s="31" t="s">
        <v>45</v>
      </c>
      <c r="G93" s="31"/>
      <c r="H93" s="28" t="s">
        <v>34</v>
      </c>
      <c r="I93" s="28" t="s">
        <v>39</v>
      </c>
      <c r="J93" s="28">
        <v>2</v>
      </c>
      <c r="K93" s="39">
        <v>2</v>
      </c>
      <c r="L93" s="28"/>
      <c r="M93" s="28"/>
      <c r="N93" s="35">
        <v>2400</v>
      </c>
      <c r="O93" s="36">
        <f t="shared" si="9"/>
        <v>2000</v>
      </c>
      <c r="P93" s="36"/>
      <c r="Q93" s="37">
        <f t="shared" si="10"/>
        <v>2120</v>
      </c>
      <c r="R93" s="37"/>
      <c r="S93" s="37"/>
      <c r="T93" s="37">
        <f t="shared" si="11"/>
        <v>4240</v>
      </c>
      <c r="V93" s="38">
        <f t="shared" si="12"/>
        <v>4240</v>
      </c>
      <c r="X93" s="38">
        <f t="shared" si="13"/>
        <v>0</v>
      </c>
    </row>
    <row r="94" ht="24">
      <c r="A94" s="23" t="str">
        <f t="shared" si="8"/>
        <v xml:space="preserve">переходы57/32ППУ ПЭ</v>
      </c>
      <c r="B94" s="28">
        <v>2023</v>
      </c>
      <c r="C94" s="29" t="s">
        <v>90</v>
      </c>
      <c r="D94" s="30" t="s">
        <v>43</v>
      </c>
      <c r="E94" s="31" t="s">
        <v>91</v>
      </c>
      <c r="F94" s="31" t="s">
        <v>92</v>
      </c>
      <c r="G94" s="31"/>
      <c r="H94" s="28" t="s">
        <v>34</v>
      </c>
      <c r="I94" s="28" t="s">
        <v>39</v>
      </c>
      <c r="J94" s="28">
        <v>2</v>
      </c>
      <c r="K94" s="39">
        <v>2</v>
      </c>
      <c r="L94" s="28"/>
      <c r="M94" s="28"/>
      <c r="N94" s="35">
        <v>2200</v>
      </c>
      <c r="O94" s="36">
        <f t="shared" si="9"/>
        <v>1833.3333333333335</v>
      </c>
      <c r="P94" s="36"/>
      <c r="Q94" s="37">
        <f t="shared" si="10"/>
        <v>1943.3333333333335</v>
      </c>
      <c r="R94" s="37"/>
      <c r="S94" s="37"/>
      <c r="T94" s="37">
        <f t="shared" si="11"/>
        <v>3886.666666666667</v>
      </c>
      <c r="V94" s="38">
        <f t="shared" si="12"/>
        <v>3886.6700000000001</v>
      </c>
      <c r="X94" s="38">
        <f t="shared" si="13"/>
        <v>-0.003333333333102928</v>
      </c>
    </row>
    <row r="95" ht="24">
      <c r="A95" s="23" t="str">
        <f t="shared" si="8"/>
        <v xml:space="preserve">шар кран50шар кран</v>
      </c>
      <c r="B95" s="28">
        <v>2023</v>
      </c>
      <c r="C95" s="29" t="s">
        <v>90</v>
      </c>
      <c r="D95" s="40" t="s">
        <v>57</v>
      </c>
      <c r="E95" s="31">
        <v>50</v>
      </c>
      <c r="F95" s="31">
        <v>125</v>
      </c>
      <c r="G95" s="31" t="s">
        <v>42</v>
      </c>
      <c r="H95" s="30" t="s">
        <v>57</v>
      </c>
      <c r="I95" s="28" t="s">
        <v>39</v>
      </c>
      <c r="J95" s="28">
        <v>14</v>
      </c>
      <c r="K95" s="28">
        <v>8</v>
      </c>
      <c r="L95" s="28"/>
      <c r="M95" s="28"/>
      <c r="N95" s="35">
        <v>12000</v>
      </c>
      <c r="O95" s="36">
        <f t="shared" si="9"/>
        <v>10000</v>
      </c>
      <c r="P95" s="36"/>
      <c r="Q95" s="37">
        <f t="shared" si="10"/>
        <v>10600</v>
      </c>
      <c r="R95" s="37"/>
      <c r="S95" s="37"/>
      <c r="T95" s="37">
        <f t="shared" si="11"/>
        <v>148400</v>
      </c>
      <c r="V95" s="38">
        <f t="shared" si="12"/>
        <v>84800</v>
      </c>
      <c r="X95" s="38">
        <f t="shared" si="13"/>
        <v>63600</v>
      </c>
    </row>
    <row r="96" ht="24">
      <c r="A96" s="23" t="str">
        <f t="shared" si="8"/>
        <v xml:space="preserve">Тройники57/57/57ППУ ПЭ</v>
      </c>
      <c r="B96" s="28">
        <v>2023</v>
      </c>
      <c r="C96" s="29" t="s">
        <v>90</v>
      </c>
      <c r="D96" s="30" t="s">
        <v>46</v>
      </c>
      <c r="E96" s="31" t="s">
        <v>93</v>
      </c>
      <c r="F96" s="31" t="s">
        <v>45</v>
      </c>
      <c r="G96" s="31"/>
      <c r="H96" s="31" t="s">
        <v>34</v>
      </c>
      <c r="I96" s="31" t="s">
        <v>39</v>
      </c>
      <c r="J96" s="28">
        <v>1</v>
      </c>
      <c r="K96" s="34">
        <v>1</v>
      </c>
      <c r="L96" s="28"/>
      <c r="M96" s="28"/>
      <c r="N96" s="35">
        <v>6000</v>
      </c>
      <c r="O96" s="36">
        <f t="shared" si="9"/>
        <v>5000</v>
      </c>
      <c r="P96" s="36"/>
      <c r="Q96" s="37">
        <f t="shared" si="10"/>
        <v>5300</v>
      </c>
      <c r="R96" s="37"/>
      <c r="S96" s="37"/>
      <c r="T96" s="37">
        <f t="shared" si="11"/>
        <v>5300</v>
      </c>
      <c r="V96" s="38">
        <f t="shared" si="12"/>
        <v>5300</v>
      </c>
      <c r="X96" s="38">
        <f t="shared" si="13"/>
        <v>0</v>
      </c>
    </row>
    <row r="97" ht="24">
      <c r="A97" s="23" t="str">
        <f t="shared" si="8"/>
        <v xml:space="preserve">Тройниковое ответвление57/57/57ППУ ПЭ</v>
      </c>
      <c r="B97" s="28">
        <v>2023</v>
      </c>
      <c r="C97" s="29" t="s">
        <v>90</v>
      </c>
      <c r="D97" s="30" t="s">
        <v>94</v>
      </c>
      <c r="E97" s="31" t="s">
        <v>93</v>
      </c>
      <c r="F97" s="31" t="s">
        <v>45</v>
      </c>
      <c r="G97" s="31"/>
      <c r="H97" s="31" t="s">
        <v>34</v>
      </c>
      <c r="I97" s="31" t="s">
        <v>39</v>
      </c>
      <c r="J97" s="28">
        <v>1</v>
      </c>
      <c r="K97" s="39">
        <v>1</v>
      </c>
      <c r="L97" s="28"/>
      <c r="M97" s="28"/>
      <c r="N97" s="35">
        <v>6000</v>
      </c>
      <c r="O97" s="36">
        <f t="shared" si="9"/>
        <v>5000</v>
      </c>
      <c r="P97" s="36"/>
      <c r="Q97" s="37">
        <f t="shared" si="10"/>
        <v>5300</v>
      </c>
      <c r="R97" s="37"/>
      <c r="S97" s="37"/>
      <c r="T97" s="37">
        <f t="shared" si="11"/>
        <v>5300</v>
      </c>
      <c r="V97" s="38">
        <f t="shared" si="12"/>
        <v>5300</v>
      </c>
      <c r="X97" s="38">
        <f t="shared" si="13"/>
        <v>0</v>
      </c>
    </row>
    <row r="98" ht="24">
      <c r="A98" s="23" t="str">
        <f t="shared" si="8"/>
        <v xml:space="preserve">КЗСКЗС(Ц)-57/125ППУ ОЦ</v>
      </c>
      <c r="B98" s="28">
        <v>2023</v>
      </c>
      <c r="C98" s="29" t="s">
        <v>90</v>
      </c>
      <c r="D98" s="30" t="s">
        <v>58</v>
      </c>
      <c r="E98" s="31" t="s">
        <v>67</v>
      </c>
      <c r="F98" s="31">
        <v>125</v>
      </c>
      <c r="G98" s="31"/>
      <c r="H98" s="28" t="s">
        <v>38</v>
      </c>
      <c r="I98" s="28" t="s">
        <v>39</v>
      </c>
      <c r="J98" s="28">
        <f>4+32</f>
        <v>36</v>
      </c>
      <c r="K98" s="28">
        <f>4+32</f>
        <v>36</v>
      </c>
      <c r="L98" s="28"/>
      <c r="M98" s="28"/>
      <c r="N98" s="35">
        <f>208+154+816</f>
        <v>1178</v>
      </c>
      <c r="O98" s="36">
        <f t="shared" si="9"/>
        <v>981.66666666666674</v>
      </c>
      <c r="P98" s="36"/>
      <c r="Q98" s="37">
        <f t="shared" si="10"/>
        <v>1040.5666666666668</v>
      </c>
      <c r="R98" s="37"/>
      <c r="S98" s="37"/>
      <c r="T98" s="37">
        <f t="shared" si="11"/>
        <v>37460.400000000009</v>
      </c>
      <c r="V98" s="38">
        <f t="shared" si="12"/>
        <v>37460.400000000001</v>
      </c>
      <c r="X98" s="38">
        <f t="shared" si="13"/>
        <v>0</v>
      </c>
    </row>
    <row r="99" ht="24">
      <c r="A99" s="23" t="str">
        <f t="shared" si="8"/>
        <v xml:space="preserve">КЗСКЗС(Т)-57/125ППУ ПЭ</v>
      </c>
      <c r="B99" s="28">
        <v>2023</v>
      </c>
      <c r="C99" s="29" t="s">
        <v>90</v>
      </c>
      <c r="D99" s="30" t="s">
        <v>58</v>
      </c>
      <c r="E99" s="31" t="s">
        <v>68</v>
      </c>
      <c r="F99" s="31">
        <v>125</v>
      </c>
      <c r="G99" s="31"/>
      <c r="H99" s="28" t="s">
        <v>34</v>
      </c>
      <c r="I99" s="31" t="s">
        <v>39</v>
      </c>
      <c r="J99" s="28">
        <f>32+80</f>
        <v>112</v>
      </c>
      <c r="K99" s="28">
        <f>32+80</f>
        <v>112</v>
      </c>
      <c r="L99" s="28"/>
      <c r="M99" s="28"/>
      <c r="N99" s="35">
        <f>208+213+154</f>
        <v>575</v>
      </c>
      <c r="O99" s="36">
        <f t="shared" si="9"/>
        <v>479.16666666666669</v>
      </c>
      <c r="P99" s="36"/>
      <c r="Q99" s="37">
        <f t="shared" si="10"/>
        <v>507.91666666666669</v>
      </c>
      <c r="R99" s="37"/>
      <c r="S99" s="37"/>
      <c r="T99" s="37">
        <f t="shared" si="11"/>
        <v>56886.666666666672</v>
      </c>
      <c r="V99" s="38">
        <f t="shared" si="12"/>
        <v>56886.669999999998</v>
      </c>
      <c r="X99" s="38">
        <f t="shared" si="13"/>
        <v>-0.0033333333267364651</v>
      </c>
    </row>
    <row r="100" ht="12.75" customHeight="1">
      <c r="A100" s="23" t="str">
        <f t="shared" si="8"/>
        <v xml:space="preserve">расходные материалыгаз техническийгаз технический</v>
      </c>
      <c r="B100" s="28">
        <v>2023</v>
      </c>
      <c r="C100" s="29" t="s">
        <v>90</v>
      </c>
      <c r="D100" s="40" t="s">
        <v>70</v>
      </c>
      <c r="E100" s="31" t="s">
        <v>71</v>
      </c>
      <c r="F100" s="31"/>
      <c r="G100" s="31"/>
      <c r="H100" s="31" t="s">
        <v>71</v>
      </c>
      <c r="I100" s="28" t="s">
        <v>72</v>
      </c>
      <c r="J100" s="28">
        <v>4</v>
      </c>
      <c r="K100" s="28">
        <v>4</v>
      </c>
      <c r="L100" s="28"/>
      <c r="M100" s="28"/>
      <c r="N100" s="28"/>
      <c r="O100" s="37">
        <v>220</v>
      </c>
      <c r="P100" s="37"/>
      <c r="Q100" s="37">
        <f t="shared" si="10"/>
        <v>233.20000000000002</v>
      </c>
      <c r="R100" s="37"/>
      <c r="S100" s="37"/>
      <c r="T100" s="37">
        <f t="shared" si="11"/>
        <v>932.80000000000007</v>
      </c>
      <c r="V100" s="38">
        <f t="shared" si="12"/>
        <v>932.79999999999995</v>
      </c>
      <c r="X100" s="38">
        <f t="shared" si="13"/>
        <v>0</v>
      </c>
    </row>
    <row r="101" ht="36">
      <c r="A101" s="23" t="str">
        <f t="shared" si="8"/>
        <v xml:space="preserve">расходные материалыСмесь пропан-бутанаСмесь пропан-бутана</v>
      </c>
      <c r="B101" s="28">
        <v>2023</v>
      </c>
      <c r="C101" s="29" t="s">
        <v>90</v>
      </c>
      <c r="D101" s="40" t="s">
        <v>70</v>
      </c>
      <c r="E101" s="31" t="s">
        <v>73</v>
      </c>
      <c r="F101" s="31"/>
      <c r="G101" s="31"/>
      <c r="H101" s="31" t="s">
        <v>73</v>
      </c>
      <c r="I101" s="28" t="s">
        <v>74</v>
      </c>
      <c r="J101" s="28">
        <v>1</v>
      </c>
      <c r="K101" s="28">
        <v>1</v>
      </c>
      <c r="L101" s="28"/>
      <c r="M101" s="28"/>
      <c r="N101" s="28"/>
      <c r="O101" s="37">
        <v>1150</v>
      </c>
      <c r="P101" s="37"/>
      <c r="Q101" s="37">
        <f t="shared" si="10"/>
        <v>1219</v>
      </c>
      <c r="R101" s="37"/>
      <c r="S101" s="37"/>
      <c r="T101" s="37">
        <f t="shared" si="11"/>
        <v>1219</v>
      </c>
      <c r="V101" s="38">
        <f t="shared" si="12"/>
        <v>1219</v>
      </c>
      <c r="X101" s="38">
        <f t="shared" si="13"/>
        <v>0</v>
      </c>
    </row>
    <row r="102" ht="24">
      <c r="A102" s="23" t="str">
        <f t="shared" si="8"/>
        <v xml:space="preserve">расходные материалыЭлектродыЭлектроды</v>
      </c>
      <c r="B102" s="28">
        <v>2023</v>
      </c>
      <c r="C102" s="29" t="s">
        <v>90</v>
      </c>
      <c r="D102" s="40" t="s">
        <v>70</v>
      </c>
      <c r="E102" s="31" t="s">
        <v>75</v>
      </c>
      <c r="F102" s="31"/>
      <c r="G102" s="31"/>
      <c r="H102" s="31" t="s">
        <v>75</v>
      </c>
      <c r="I102" s="28" t="s">
        <v>76</v>
      </c>
      <c r="J102" s="28">
        <v>35</v>
      </c>
      <c r="K102" s="28">
        <v>35</v>
      </c>
      <c r="L102" s="28"/>
      <c r="M102" s="28"/>
      <c r="N102" s="28"/>
      <c r="O102" s="37">
        <v>347.56</v>
      </c>
      <c r="P102" s="37"/>
      <c r="Q102" s="37">
        <f t="shared" si="10"/>
        <v>368.41360000000003</v>
      </c>
      <c r="R102" s="37"/>
      <c r="S102" s="37"/>
      <c r="T102" s="37">
        <f t="shared" si="11"/>
        <v>12894.476000000001</v>
      </c>
      <c r="V102" s="38">
        <f t="shared" si="12"/>
        <v>12894.48</v>
      </c>
      <c r="X102" s="38">
        <f t="shared" si="13"/>
        <v>-0.0039999999989959178</v>
      </c>
    </row>
    <row r="103" ht="36">
      <c r="A103" s="23" t="str">
        <f t="shared" si="8"/>
        <v xml:space="preserve">расходные материалыпроволока сварочнаяпроволока сварочная</v>
      </c>
      <c r="B103" s="28">
        <v>2023</v>
      </c>
      <c r="C103" s="29" t="s">
        <v>90</v>
      </c>
      <c r="D103" s="40" t="s">
        <v>70</v>
      </c>
      <c r="E103" s="41" t="s">
        <v>77</v>
      </c>
      <c r="F103" s="41"/>
      <c r="G103" s="41"/>
      <c r="H103" s="41" t="s">
        <v>77</v>
      </c>
      <c r="I103" s="28" t="s">
        <v>78</v>
      </c>
      <c r="J103" s="28">
        <v>1</v>
      </c>
      <c r="K103" s="28">
        <v>1</v>
      </c>
      <c r="L103" s="28"/>
      <c r="M103" s="28"/>
      <c r="N103" s="28"/>
      <c r="O103" s="37">
        <v>13481</v>
      </c>
      <c r="P103" s="37"/>
      <c r="Q103" s="37">
        <f t="shared" si="10"/>
        <v>14289.860000000001</v>
      </c>
      <c r="R103" s="37"/>
      <c r="S103" s="37"/>
      <c r="T103" s="37">
        <f t="shared" si="11"/>
        <v>14289.860000000001</v>
      </c>
      <c r="V103" s="38">
        <f t="shared" si="12"/>
        <v>14289.860000000001</v>
      </c>
      <c r="X103" s="38">
        <f t="shared" si="13"/>
        <v>0</v>
      </c>
    </row>
    <row r="104" ht="36">
      <c r="A104" s="23" t="str">
        <f t="shared" si="8"/>
        <v xml:space="preserve">расходные материалыкруг отрезной 230х2ммкруг отрезной 230х2мм</v>
      </c>
      <c r="B104" s="28">
        <v>2023</v>
      </c>
      <c r="C104" s="29" t="s">
        <v>90</v>
      </c>
      <c r="D104" s="40" t="s">
        <v>70</v>
      </c>
      <c r="E104" s="31" t="s">
        <v>79</v>
      </c>
      <c r="F104" s="31"/>
      <c r="G104" s="31"/>
      <c r="H104" s="31" t="s">
        <v>79</v>
      </c>
      <c r="I104" s="28" t="s">
        <v>39</v>
      </c>
      <c r="J104" s="28">
        <v>106</v>
      </c>
      <c r="K104" s="28">
        <v>106</v>
      </c>
      <c r="L104" s="28"/>
      <c r="M104" s="28"/>
      <c r="N104" s="28"/>
      <c r="O104" s="37">
        <v>168</v>
      </c>
      <c r="P104" s="37"/>
      <c r="Q104" s="37">
        <f t="shared" si="10"/>
        <v>178.08000000000001</v>
      </c>
      <c r="R104" s="37"/>
      <c r="S104" s="37"/>
      <c r="T104" s="37">
        <f t="shared" si="11"/>
        <v>18876.48</v>
      </c>
      <c r="V104" s="38">
        <f t="shared" si="12"/>
        <v>18876.48</v>
      </c>
      <c r="X104" s="38">
        <f t="shared" si="13"/>
        <v>0</v>
      </c>
    </row>
    <row r="105" ht="24">
      <c r="A105" s="23" t="str">
        <f t="shared" si="8"/>
        <v xml:space="preserve">расходные материалыПесокПесок</v>
      </c>
      <c r="B105" s="28">
        <v>2023</v>
      </c>
      <c r="C105" s="29" t="s">
        <v>90</v>
      </c>
      <c r="D105" s="40" t="s">
        <v>70</v>
      </c>
      <c r="E105" s="40" t="s">
        <v>80</v>
      </c>
      <c r="F105" s="31"/>
      <c r="G105" s="31"/>
      <c r="H105" s="40" t="s">
        <v>80</v>
      </c>
      <c r="I105" s="28" t="s">
        <v>81</v>
      </c>
      <c r="J105" s="28">
        <v>25</v>
      </c>
      <c r="K105" s="28">
        <v>25</v>
      </c>
      <c r="L105" s="28"/>
      <c r="M105" s="28"/>
      <c r="N105" s="28"/>
      <c r="O105" s="37">
        <v>190</v>
      </c>
      <c r="P105" s="37"/>
      <c r="Q105" s="37">
        <f t="shared" si="10"/>
        <v>201.40000000000001</v>
      </c>
      <c r="R105" s="37"/>
      <c r="S105" s="37"/>
      <c r="T105" s="37">
        <f t="shared" si="11"/>
        <v>5035</v>
      </c>
      <c r="V105" s="38">
        <f t="shared" si="12"/>
        <v>5035</v>
      </c>
      <c r="X105" s="38">
        <f t="shared" si="13"/>
        <v>0</v>
      </c>
    </row>
    <row r="106" ht="24">
      <c r="A106" s="23" t="str">
        <f t="shared" si="8"/>
        <v xml:space="preserve">расходные материалыМастика резинобитумная  Мастика резинобитумная  </v>
      </c>
      <c r="B106" s="28">
        <v>2023</v>
      </c>
      <c r="C106" s="29" t="s">
        <v>90</v>
      </c>
      <c r="D106" s="62" t="s">
        <v>70</v>
      </c>
      <c r="E106" s="42" t="s">
        <v>82</v>
      </c>
      <c r="F106" s="31"/>
      <c r="G106" s="31"/>
      <c r="H106" s="42" t="s">
        <v>82</v>
      </c>
      <c r="I106" s="28" t="s">
        <v>83</v>
      </c>
      <c r="J106" s="28">
        <v>5</v>
      </c>
      <c r="K106" s="28">
        <v>5</v>
      </c>
      <c r="L106" s="28"/>
      <c r="M106" s="28"/>
      <c r="N106" s="28"/>
      <c r="O106" s="37">
        <v>290</v>
      </c>
      <c r="P106" s="37"/>
      <c r="Q106" s="37">
        <f t="shared" si="10"/>
        <v>307.40000000000003</v>
      </c>
      <c r="R106" s="37"/>
      <c r="S106" s="37"/>
      <c r="T106" s="37">
        <f t="shared" si="11"/>
        <v>1537.0000000000002</v>
      </c>
      <c r="U106" s="63">
        <f>SUM(T89:T106)</f>
        <v>698833.54933333339</v>
      </c>
      <c r="V106" s="38">
        <f t="shared" si="12"/>
        <v>1537</v>
      </c>
      <c r="W106" s="63">
        <f>SUM(V89:V106)</f>
        <v>468598.02999999991</v>
      </c>
      <c r="X106" s="38">
        <f t="shared" si="13"/>
        <v>0</v>
      </c>
    </row>
    <row r="107">
      <c r="B107" s="28"/>
      <c r="C107" s="29"/>
      <c r="D107" s="28" t="s">
        <v>95</v>
      </c>
      <c r="E107" s="31"/>
      <c r="H107" s="28"/>
      <c r="I107" s="28"/>
      <c r="J107" s="28"/>
      <c r="O107" s="28"/>
      <c r="P107" s="28"/>
      <c r="Q107" s="28"/>
      <c r="T107" s="28"/>
      <c r="V107" s="23">
        <f>SUBTOTAL(9,V4:V106)</f>
        <v>7226490.7200000044</v>
      </c>
      <c r="W107" s="23">
        <f>SUM(W4:W106)</f>
        <v>7226490.7199999997</v>
      </c>
    </row>
    <row r="108">
      <c r="B108" s="28"/>
      <c r="C108" s="29"/>
      <c r="D108" s="28" t="s">
        <v>95</v>
      </c>
      <c r="E108" s="31"/>
      <c r="H108" s="28"/>
      <c r="I108" s="28"/>
      <c r="J108" s="28"/>
      <c r="O108" s="28"/>
      <c r="P108" s="28"/>
      <c r="Q108" s="28"/>
      <c r="T108" s="28"/>
    </row>
    <row r="109">
      <c r="B109" s="28"/>
      <c r="C109" s="29"/>
      <c r="D109" s="28" t="s">
        <v>95</v>
      </c>
      <c r="E109" s="31"/>
      <c r="H109" s="28"/>
      <c r="I109" s="28"/>
      <c r="J109" s="28"/>
      <c r="O109" s="28"/>
      <c r="P109" s="28"/>
      <c r="Q109" s="28"/>
      <c r="T109" s="37">
        <f>SUM(T4:T106)</f>
        <v>7832566.9460000023</v>
      </c>
    </row>
    <row r="110">
      <c r="B110" s="28"/>
      <c r="C110" s="29"/>
      <c r="D110" s="28" t="s">
        <v>95</v>
      </c>
      <c r="E110" s="31"/>
      <c r="H110" s="28"/>
      <c r="I110" s="28"/>
      <c r="J110" s="28"/>
      <c r="M110" s="23" t="s">
        <v>96</v>
      </c>
      <c r="O110" s="28"/>
      <c r="P110" s="28"/>
      <c r="Q110" s="28"/>
      <c r="T110" s="28">
        <v>18986744.649599999</v>
      </c>
    </row>
    <row r="111" ht="36">
      <c r="B111" s="28"/>
      <c r="C111" s="29"/>
      <c r="D111" s="28" t="s">
        <v>95</v>
      </c>
      <c r="E111" s="31"/>
      <c r="H111" s="28"/>
      <c r="I111" s="28"/>
      <c r="J111" s="28"/>
      <c r="L111" s="23" t="s">
        <v>97</v>
      </c>
      <c r="M111" s="23" t="s">
        <v>98</v>
      </c>
      <c r="O111" s="32" t="s">
        <v>28</v>
      </c>
      <c r="P111" s="32"/>
      <c r="Q111" s="28" t="s">
        <v>29</v>
      </c>
      <c r="T111" s="28" t="s">
        <v>7</v>
      </c>
      <c r="U111" s="23" t="s">
        <v>99</v>
      </c>
    </row>
    <row r="112">
      <c r="A112" s="23" t="str">
        <f t="shared" ref="A112:A168" si="14">D112&amp;E112&amp;H112</f>
        <v xml:space="preserve">труба219ППУ ПЭ</v>
      </c>
      <c r="B112" s="28"/>
      <c r="C112" s="29"/>
      <c r="D112" s="30" t="s">
        <v>33</v>
      </c>
      <c r="E112" s="31">
        <v>219</v>
      </c>
      <c r="F112" s="31"/>
      <c r="G112" s="64"/>
      <c r="H112" s="31" t="s">
        <v>34</v>
      </c>
      <c r="I112" s="28"/>
      <c r="J112" s="37">
        <f t="shared" ref="J112:J168" si="15">SUMIFS($J$4:$J$106,$D$4:$D$106,D112,$E$4:$E$106,E112,$H$4:$H$106,H112)</f>
        <v>836</v>
      </c>
      <c r="M112" s="38">
        <f t="shared" ref="M112:M168" si="16">J112-L112</f>
        <v>836</v>
      </c>
      <c r="O112" s="37">
        <f t="shared" ref="O112:O168" si="17">VLOOKUP(A112,$A$4:$O$106,15,FALSE)</f>
        <v>4258.3333333333339</v>
      </c>
      <c r="P112" s="37">
        <v>4513.8299999999999</v>
      </c>
      <c r="Q112" s="37">
        <f t="shared" ref="Q112:Q168" si="18">O112*1.06</f>
        <v>4513.8333333333339</v>
      </c>
      <c r="T112" s="65">
        <f t="shared" ref="T112:T168" si="19">SUMIFS($T$4:$T$106,$D$4:$D$106,D112,$E$4:$E$106,E112,$H$4:$H$106,H112)</f>
        <v>3773564.666666667</v>
      </c>
      <c r="U112" s="38">
        <f t="shared" ref="U112:U168" si="20">ROUND(P112*M112,2)</f>
        <v>3773561.8799999999</v>
      </c>
      <c r="V112" s="23">
        <f t="shared" ref="V112:V168" si="21">Q112*M112</f>
        <v>3773564.666666667</v>
      </c>
      <c r="W112" s="38" t="b">
        <f t="shared" ref="W112:W168" si="22">V112=T112</f>
        <v>1</v>
      </c>
    </row>
    <row r="113">
      <c r="A113" s="23" t="str">
        <f t="shared" si="14"/>
        <v xml:space="preserve">труба133ППУ ПЭ</v>
      </c>
      <c r="B113" s="28"/>
      <c r="C113" s="29"/>
      <c r="D113" s="30" t="s">
        <v>33</v>
      </c>
      <c r="E113" s="31">
        <v>133</v>
      </c>
      <c r="F113" s="31"/>
      <c r="G113" s="64"/>
      <c r="H113" s="31" t="s">
        <v>34</v>
      </c>
      <c r="I113" s="28"/>
      <c r="J113" s="37">
        <f t="shared" si="15"/>
        <v>60</v>
      </c>
      <c r="K113" s="66"/>
      <c r="L113" s="67">
        <f>0+83.44</f>
        <v>83.439999999999998</v>
      </c>
      <c r="M113" s="38">
        <v>0</v>
      </c>
      <c r="O113" s="37">
        <f t="shared" si="17"/>
        <v>2019.1666666666667</v>
      </c>
      <c r="P113" s="37">
        <v>2140.3200000000002</v>
      </c>
      <c r="Q113" s="37">
        <f t="shared" si="18"/>
        <v>2140.3166666666671</v>
      </c>
      <c r="T113" s="65">
        <f t="shared" si="19"/>
        <v>128419.00000000003</v>
      </c>
      <c r="U113" s="38">
        <f t="shared" si="20"/>
        <v>0</v>
      </c>
      <c r="V113" s="23">
        <f t="shared" si="21"/>
        <v>0</v>
      </c>
      <c r="W113" s="38" t="b">
        <f t="shared" si="22"/>
        <v>0</v>
      </c>
    </row>
    <row r="114">
      <c r="A114" s="23" t="str">
        <f t="shared" si="14"/>
        <v xml:space="preserve">труба108ППУ ПЭ</v>
      </c>
      <c r="B114" s="28"/>
      <c r="C114" s="29"/>
      <c r="D114" s="30" t="s">
        <v>33</v>
      </c>
      <c r="E114" s="31">
        <v>108</v>
      </c>
      <c r="F114" s="31"/>
      <c r="G114" s="64"/>
      <c r="H114" s="31" t="s">
        <v>34</v>
      </c>
      <c r="I114" s="28"/>
      <c r="J114" s="37">
        <f t="shared" si="15"/>
        <v>206</v>
      </c>
      <c r="M114" s="38">
        <f t="shared" si="16"/>
        <v>206</v>
      </c>
      <c r="O114" s="37">
        <f t="shared" si="17"/>
        <v>1521.6666666666667</v>
      </c>
      <c r="P114" s="37">
        <v>1612.97</v>
      </c>
      <c r="Q114" s="37">
        <f t="shared" si="18"/>
        <v>1612.9666666666669</v>
      </c>
      <c r="T114" s="65">
        <f t="shared" si="19"/>
        <v>332271.13333333336</v>
      </c>
      <c r="U114" s="38">
        <f t="shared" si="20"/>
        <v>332271.82000000001</v>
      </c>
      <c r="V114" s="23">
        <f t="shared" si="21"/>
        <v>332271.13333333336</v>
      </c>
      <c r="W114" s="38" t="b">
        <f t="shared" si="22"/>
        <v>1</v>
      </c>
    </row>
    <row r="115">
      <c r="A115" s="23" t="str">
        <f t="shared" si="14"/>
        <v xml:space="preserve">труба89ППУ ПЭ</v>
      </c>
      <c r="B115" s="28"/>
      <c r="C115" s="29"/>
      <c r="D115" s="30" t="s">
        <v>33</v>
      </c>
      <c r="E115" s="31">
        <v>89</v>
      </c>
      <c r="F115" s="31"/>
      <c r="G115" s="64"/>
      <c r="H115" s="31" t="s">
        <v>34</v>
      </c>
      <c r="I115" s="28"/>
      <c r="J115" s="37">
        <f t="shared" si="15"/>
        <v>10</v>
      </c>
      <c r="M115" s="38">
        <f t="shared" si="16"/>
        <v>10</v>
      </c>
      <c r="O115" s="37">
        <f t="shared" si="17"/>
        <v>1350</v>
      </c>
      <c r="P115" s="37">
        <v>1431</v>
      </c>
      <c r="Q115" s="37">
        <f t="shared" si="18"/>
        <v>1431</v>
      </c>
      <c r="T115" s="65">
        <f t="shared" si="19"/>
        <v>14310</v>
      </c>
      <c r="U115" s="38">
        <f t="shared" si="20"/>
        <v>14310</v>
      </c>
      <c r="V115" s="23">
        <f t="shared" si="21"/>
        <v>14310</v>
      </c>
      <c r="W115" s="38" t="b">
        <f t="shared" si="22"/>
        <v>1</v>
      </c>
    </row>
    <row r="116">
      <c r="A116" s="23" t="str">
        <f t="shared" si="14"/>
        <v xml:space="preserve">труба76ППУ ПЭ</v>
      </c>
      <c r="B116" s="28"/>
      <c r="C116" s="29"/>
      <c r="D116" s="30" t="s">
        <v>33</v>
      </c>
      <c r="E116" s="31">
        <v>76</v>
      </c>
      <c r="F116" s="31"/>
      <c r="G116" s="64"/>
      <c r="H116" s="31" t="s">
        <v>34</v>
      </c>
      <c r="I116" s="28"/>
      <c r="J116" s="37">
        <f t="shared" si="15"/>
        <v>198</v>
      </c>
      <c r="M116" s="38">
        <f t="shared" si="16"/>
        <v>198</v>
      </c>
      <c r="O116" s="37">
        <f t="shared" si="17"/>
        <v>1022.5</v>
      </c>
      <c r="P116" s="37">
        <v>1083.8500000000001</v>
      </c>
      <c r="Q116" s="37">
        <f t="shared" si="18"/>
        <v>1083.8500000000001</v>
      </c>
      <c r="T116" s="65">
        <f t="shared" si="19"/>
        <v>214602.30000000002</v>
      </c>
      <c r="U116" s="38">
        <f t="shared" si="20"/>
        <v>214602.29999999999</v>
      </c>
      <c r="V116" s="23">
        <f t="shared" si="21"/>
        <v>214602.30000000002</v>
      </c>
      <c r="W116" s="38" t="b">
        <f t="shared" si="22"/>
        <v>1</v>
      </c>
    </row>
    <row r="117">
      <c r="A117" s="23" t="str">
        <f t="shared" si="14"/>
        <v xml:space="preserve">труба57ППУ ОЦ</v>
      </c>
      <c r="B117" s="28"/>
      <c r="C117" s="29"/>
      <c r="D117" s="30" t="s">
        <v>33</v>
      </c>
      <c r="E117" s="31">
        <v>57</v>
      </c>
      <c r="F117" s="31"/>
      <c r="G117" s="64"/>
      <c r="H117" s="31" t="s">
        <v>38</v>
      </c>
      <c r="I117" s="28"/>
      <c r="J117" s="37">
        <f t="shared" si="15"/>
        <v>24</v>
      </c>
      <c r="K117" s="66"/>
      <c r="M117" s="38">
        <f t="shared" si="16"/>
        <v>24</v>
      </c>
      <c r="O117" s="37">
        <f t="shared" si="17"/>
        <v>1158.3333333333335</v>
      </c>
      <c r="P117" s="37">
        <v>1227.8299999999999</v>
      </c>
      <c r="Q117" s="37">
        <f t="shared" si="18"/>
        <v>1227.8333333333335</v>
      </c>
      <c r="T117" s="65">
        <f t="shared" si="19"/>
        <v>29468.000000000004</v>
      </c>
      <c r="U117" s="38">
        <f t="shared" si="20"/>
        <v>29467.919999999998</v>
      </c>
      <c r="V117" s="23">
        <f t="shared" si="21"/>
        <v>29468.000000000004</v>
      </c>
      <c r="W117" s="38" t="b">
        <f t="shared" si="22"/>
        <v>1</v>
      </c>
    </row>
    <row r="118">
      <c r="A118" s="23" t="str">
        <f t="shared" si="14"/>
        <v xml:space="preserve">труба57ППУ ПЭ</v>
      </c>
      <c r="B118" s="28"/>
      <c r="C118" s="29"/>
      <c r="D118" s="30" t="s">
        <v>33</v>
      </c>
      <c r="E118" s="31">
        <v>57</v>
      </c>
      <c r="F118" s="31"/>
      <c r="G118" s="64"/>
      <c r="H118" s="31" t="s">
        <v>34</v>
      </c>
      <c r="I118" s="28"/>
      <c r="J118" s="37">
        <f t="shared" si="15"/>
        <v>404</v>
      </c>
      <c r="K118" s="66"/>
      <c r="L118" s="68">
        <f>0+142</f>
        <v>142</v>
      </c>
      <c r="M118" s="38">
        <f t="shared" si="16"/>
        <v>262</v>
      </c>
      <c r="O118" s="37">
        <f t="shared" si="17"/>
        <v>901.66666666666674</v>
      </c>
      <c r="P118" s="37">
        <v>955.76999999999998</v>
      </c>
      <c r="Q118" s="37">
        <f t="shared" si="18"/>
        <v>955.76666666666677</v>
      </c>
      <c r="T118" s="65">
        <f t="shared" si="19"/>
        <v>386129.7333333334</v>
      </c>
      <c r="U118" s="38">
        <f t="shared" si="20"/>
        <v>250411.73999999999</v>
      </c>
      <c r="V118" s="23">
        <f t="shared" si="21"/>
        <v>250410.8666666667</v>
      </c>
      <c r="W118" s="38" t="b">
        <f t="shared" si="22"/>
        <v>0</v>
      </c>
    </row>
    <row r="119">
      <c r="A119" s="23" t="str">
        <f t="shared" si="14"/>
        <v xml:space="preserve">труба40ППУ ПЭ</v>
      </c>
      <c r="B119" s="28"/>
      <c r="C119" s="29"/>
      <c r="D119" s="30" t="s">
        <v>33</v>
      </c>
      <c r="E119" s="31">
        <v>40</v>
      </c>
      <c r="F119" s="31"/>
      <c r="G119" s="64"/>
      <c r="H119" s="31" t="s">
        <v>34</v>
      </c>
      <c r="I119" s="28"/>
      <c r="J119" s="37">
        <f t="shared" si="15"/>
        <v>89</v>
      </c>
      <c r="M119" s="38">
        <f t="shared" si="16"/>
        <v>89</v>
      </c>
      <c r="O119" s="37">
        <f t="shared" si="17"/>
        <v>854.16666666666674</v>
      </c>
      <c r="P119" s="37">
        <v>905.41999999999996</v>
      </c>
      <c r="Q119" s="37">
        <f t="shared" si="18"/>
        <v>905.41666666666674</v>
      </c>
      <c r="T119" s="65">
        <f t="shared" si="19"/>
        <v>80582.083333333343</v>
      </c>
      <c r="U119" s="38">
        <f t="shared" si="20"/>
        <v>80582.380000000005</v>
      </c>
      <c r="V119" s="23">
        <f t="shared" si="21"/>
        <v>80582.083333333343</v>
      </c>
      <c r="W119" s="38" t="b">
        <f t="shared" si="22"/>
        <v>1</v>
      </c>
    </row>
    <row r="120">
      <c r="A120" s="23" t="str">
        <f t="shared" si="14"/>
        <v xml:space="preserve">отводы219ППУ ОЦ</v>
      </c>
      <c r="B120" s="28"/>
      <c r="C120" s="29"/>
      <c r="D120" s="30" t="s">
        <v>36</v>
      </c>
      <c r="E120" s="31">
        <v>219</v>
      </c>
      <c r="F120" s="31"/>
      <c r="G120" s="64"/>
      <c r="H120" s="31" t="s">
        <v>38</v>
      </c>
      <c r="I120" s="28"/>
      <c r="J120" s="37">
        <f t="shared" si="15"/>
        <v>10</v>
      </c>
      <c r="M120" s="38">
        <v>0</v>
      </c>
      <c r="O120" s="37">
        <f t="shared" si="17"/>
        <v>7916.666666666667</v>
      </c>
      <c r="P120" s="37">
        <v>8391.6700000000001</v>
      </c>
      <c r="Q120" s="37">
        <f t="shared" si="18"/>
        <v>8391.6666666666679</v>
      </c>
      <c r="T120" s="65">
        <f t="shared" si="19"/>
        <v>83916.666666666686</v>
      </c>
      <c r="U120" s="38">
        <f t="shared" si="20"/>
        <v>0</v>
      </c>
      <c r="V120" s="23">
        <f t="shared" si="21"/>
        <v>0</v>
      </c>
      <c r="W120" s="38" t="b">
        <f t="shared" si="22"/>
        <v>0</v>
      </c>
    </row>
    <row r="121">
      <c r="A121" s="23" t="str">
        <f t="shared" si="14"/>
        <v xml:space="preserve">отводы219ППУ ПЭ</v>
      </c>
      <c r="B121" s="28"/>
      <c r="C121" s="29"/>
      <c r="D121" s="30" t="s">
        <v>36</v>
      </c>
      <c r="E121" s="31">
        <v>219</v>
      </c>
      <c r="F121" s="31"/>
      <c r="G121" s="64"/>
      <c r="H121" s="31" t="s">
        <v>34</v>
      </c>
      <c r="I121" s="28"/>
      <c r="J121" s="37">
        <f t="shared" si="15"/>
        <v>46</v>
      </c>
      <c r="M121" s="69">
        <v>56</v>
      </c>
      <c r="O121" s="37">
        <f t="shared" si="17"/>
        <v>7916.666666666667</v>
      </c>
      <c r="P121" s="37">
        <v>8391.6700000000001</v>
      </c>
      <c r="Q121" s="37">
        <f t="shared" si="18"/>
        <v>8391.6666666666679</v>
      </c>
      <c r="T121" s="65">
        <f t="shared" si="19"/>
        <v>386016.66666666674</v>
      </c>
      <c r="U121" s="38">
        <f t="shared" si="20"/>
        <v>469933.52000000002</v>
      </c>
      <c r="V121" s="23">
        <f t="shared" si="21"/>
        <v>469933.33333333337</v>
      </c>
      <c r="W121" s="38" t="b">
        <f t="shared" si="22"/>
        <v>0</v>
      </c>
    </row>
    <row r="122">
      <c r="A122" s="23" t="str">
        <f t="shared" si="14"/>
        <v xml:space="preserve">отводы219 (45º)ППУ ПЭ</v>
      </c>
      <c r="B122" s="28"/>
      <c r="C122" s="29"/>
      <c r="D122" s="30" t="s">
        <v>36</v>
      </c>
      <c r="E122" s="31" t="s">
        <v>41</v>
      </c>
      <c r="F122" s="31"/>
      <c r="G122" s="31"/>
      <c r="H122" s="31" t="s">
        <v>34</v>
      </c>
      <c r="I122" s="28"/>
      <c r="J122" s="37">
        <f t="shared" si="15"/>
        <v>4</v>
      </c>
      <c r="K122" s="66"/>
      <c r="L122" s="67">
        <f>0+9</f>
        <v>9</v>
      </c>
      <c r="M122" s="38">
        <v>0</v>
      </c>
      <c r="O122" s="37">
        <f t="shared" si="17"/>
        <v>7916.666666666667</v>
      </c>
      <c r="P122" s="37">
        <v>8391.6700000000001</v>
      </c>
      <c r="Q122" s="37">
        <f t="shared" si="18"/>
        <v>8391.6666666666679</v>
      </c>
      <c r="T122" s="65">
        <f t="shared" si="19"/>
        <v>33566.666666666672</v>
      </c>
      <c r="U122" s="38">
        <f t="shared" si="20"/>
        <v>0</v>
      </c>
      <c r="V122" s="23">
        <f t="shared" si="21"/>
        <v>0</v>
      </c>
      <c r="W122" s="38" t="b">
        <f t="shared" si="22"/>
        <v>0</v>
      </c>
    </row>
    <row r="123">
      <c r="A123" s="23" t="str">
        <f t="shared" si="14"/>
        <v xml:space="preserve">отводы133ППУ ПЭ</v>
      </c>
      <c r="B123" s="28"/>
      <c r="C123" s="29"/>
      <c r="D123" s="28" t="s">
        <v>36</v>
      </c>
      <c r="E123" s="31">
        <v>133</v>
      </c>
      <c r="F123" s="31"/>
      <c r="G123" s="64"/>
      <c r="H123" s="31" t="s">
        <v>34</v>
      </c>
      <c r="I123" s="28"/>
      <c r="J123" s="37">
        <f t="shared" si="15"/>
        <v>4</v>
      </c>
      <c r="M123" s="38">
        <f t="shared" si="16"/>
        <v>4</v>
      </c>
      <c r="O123" s="37">
        <f t="shared" si="17"/>
        <v>3833.3333333333335</v>
      </c>
      <c r="P123" s="37">
        <v>4063.3299999999999</v>
      </c>
      <c r="Q123" s="37">
        <f t="shared" si="18"/>
        <v>4063.3333333333335</v>
      </c>
      <c r="T123" s="65">
        <f t="shared" si="19"/>
        <v>16253.333333333334</v>
      </c>
      <c r="U123" s="38">
        <f t="shared" si="20"/>
        <v>16253.32</v>
      </c>
      <c r="V123" s="23">
        <f t="shared" si="21"/>
        <v>16253.333333333334</v>
      </c>
      <c r="W123" s="38" t="b">
        <f t="shared" si="22"/>
        <v>1</v>
      </c>
    </row>
    <row r="124">
      <c r="A124" s="23" t="str">
        <f t="shared" si="14"/>
        <v xml:space="preserve">отводы108ППУ ОЦ</v>
      </c>
      <c r="B124" s="28"/>
      <c r="C124" s="29"/>
      <c r="D124" s="28" t="s">
        <v>36</v>
      </c>
      <c r="E124" s="31">
        <v>108</v>
      </c>
      <c r="F124" s="31"/>
      <c r="G124" s="64"/>
      <c r="H124" s="31" t="s">
        <v>38</v>
      </c>
      <c r="I124" s="28"/>
      <c r="J124" s="37">
        <f t="shared" si="15"/>
        <v>28</v>
      </c>
      <c r="K124" s="66"/>
      <c r="L124" s="66">
        <f>11+13</f>
        <v>24</v>
      </c>
      <c r="M124" s="38">
        <f t="shared" si="16"/>
        <v>4</v>
      </c>
      <c r="O124" s="37">
        <f t="shared" si="17"/>
        <v>2500</v>
      </c>
      <c r="P124" s="37">
        <v>2650</v>
      </c>
      <c r="Q124" s="37">
        <f t="shared" si="18"/>
        <v>2650</v>
      </c>
      <c r="T124" s="65">
        <f t="shared" si="19"/>
        <v>74200</v>
      </c>
      <c r="U124" s="38">
        <f t="shared" si="20"/>
        <v>10600</v>
      </c>
      <c r="V124" s="23">
        <f t="shared" si="21"/>
        <v>10600</v>
      </c>
      <c r="W124" s="38" t="b">
        <f t="shared" si="22"/>
        <v>0</v>
      </c>
    </row>
    <row r="125">
      <c r="A125" s="23" t="str">
        <f t="shared" si="14"/>
        <v xml:space="preserve">отводы108ППУ ПЭ</v>
      </c>
      <c r="B125" s="28"/>
      <c r="C125" s="29"/>
      <c r="D125" s="28" t="s">
        <v>36</v>
      </c>
      <c r="E125" s="31">
        <v>108</v>
      </c>
      <c r="F125" s="31"/>
      <c r="G125" s="64"/>
      <c r="H125" s="28" t="s">
        <v>34</v>
      </c>
      <c r="I125" s="28"/>
      <c r="J125" s="37">
        <f t="shared" si="15"/>
        <v>34</v>
      </c>
      <c r="K125" s="66"/>
      <c r="M125" s="38">
        <f t="shared" si="16"/>
        <v>34</v>
      </c>
      <c r="O125" s="37">
        <f t="shared" si="17"/>
        <v>2500</v>
      </c>
      <c r="P125" s="37">
        <v>2650</v>
      </c>
      <c r="Q125" s="37">
        <f t="shared" si="18"/>
        <v>2650</v>
      </c>
      <c r="T125" s="65">
        <f t="shared" si="19"/>
        <v>90100</v>
      </c>
      <c r="U125" s="38">
        <f t="shared" si="20"/>
        <v>90100</v>
      </c>
      <c r="V125" s="23">
        <f t="shared" si="21"/>
        <v>90100</v>
      </c>
      <c r="W125" s="38" t="b">
        <f t="shared" si="22"/>
        <v>1</v>
      </c>
    </row>
    <row r="126">
      <c r="A126" s="23" t="str">
        <f t="shared" si="14"/>
        <v xml:space="preserve">отводы89ППУ ОЦ</v>
      </c>
      <c r="B126" s="28"/>
      <c r="C126" s="29"/>
      <c r="D126" s="28" t="s">
        <v>36</v>
      </c>
      <c r="E126" s="31">
        <v>89</v>
      </c>
      <c r="F126" s="31"/>
      <c r="G126" s="64"/>
      <c r="H126" s="31" t="s">
        <v>38</v>
      </c>
      <c r="I126" s="28"/>
      <c r="J126" s="37">
        <f t="shared" si="15"/>
        <v>6</v>
      </c>
      <c r="M126" s="38">
        <f t="shared" si="16"/>
        <v>6</v>
      </c>
      <c r="O126" s="37">
        <f t="shared" si="17"/>
        <v>2083.3333333333335</v>
      </c>
      <c r="P126" s="37">
        <v>2208.3299999999999</v>
      </c>
      <c r="Q126" s="37">
        <f t="shared" si="18"/>
        <v>2208.3333333333335</v>
      </c>
      <c r="T126" s="65">
        <f t="shared" si="19"/>
        <v>13250</v>
      </c>
      <c r="U126" s="38">
        <f t="shared" si="20"/>
        <v>13249.98</v>
      </c>
      <c r="V126" s="23">
        <f t="shared" si="21"/>
        <v>13250</v>
      </c>
      <c r="W126" s="38" t="b">
        <f t="shared" si="22"/>
        <v>1</v>
      </c>
    </row>
    <row r="127">
      <c r="A127" s="23" t="str">
        <f t="shared" si="14"/>
        <v xml:space="preserve">отводы89ППУ ПЭ</v>
      </c>
      <c r="B127" s="28"/>
      <c r="C127" s="29"/>
      <c r="D127" s="28" t="s">
        <v>36</v>
      </c>
      <c r="E127" s="31">
        <v>89</v>
      </c>
      <c r="F127" s="31"/>
      <c r="G127" s="64"/>
      <c r="H127" s="28" t="s">
        <v>34</v>
      </c>
      <c r="I127" s="28"/>
      <c r="J127" s="37">
        <f t="shared" si="15"/>
        <v>6</v>
      </c>
      <c r="M127" s="38">
        <f t="shared" si="16"/>
        <v>6</v>
      </c>
      <c r="O127" s="37">
        <f t="shared" si="17"/>
        <v>2083.3333333333335</v>
      </c>
      <c r="P127" s="37">
        <v>2208.3299999999999</v>
      </c>
      <c r="Q127" s="37">
        <f t="shared" si="18"/>
        <v>2208.3333333333335</v>
      </c>
      <c r="T127" s="65">
        <f t="shared" si="19"/>
        <v>13250</v>
      </c>
      <c r="U127" s="38">
        <f t="shared" si="20"/>
        <v>13249.98</v>
      </c>
      <c r="V127" s="23">
        <f t="shared" si="21"/>
        <v>13250</v>
      </c>
      <c r="W127" s="38" t="b">
        <f t="shared" si="22"/>
        <v>1</v>
      </c>
    </row>
    <row r="128">
      <c r="A128" s="23" t="str">
        <f t="shared" si="14"/>
        <v xml:space="preserve">отводы76ППУ ОЦ</v>
      </c>
      <c r="B128" s="28"/>
      <c r="C128" s="29"/>
      <c r="D128" s="28" t="s">
        <v>36</v>
      </c>
      <c r="E128" s="31">
        <v>76</v>
      </c>
      <c r="F128" s="31"/>
      <c r="G128" s="64"/>
      <c r="H128" s="31" t="s">
        <v>38</v>
      </c>
      <c r="I128" s="28"/>
      <c r="J128" s="37">
        <f t="shared" si="15"/>
        <v>20</v>
      </c>
      <c r="K128" s="66"/>
      <c r="M128" s="38">
        <f t="shared" si="16"/>
        <v>20</v>
      </c>
      <c r="O128" s="37">
        <f t="shared" si="17"/>
        <v>1666.6666666666667</v>
      </c>
      <c r="P128" s="37">
        <v>1766.6700000000001</v>
      </c>
      <c r="Q128" s="37">
        <f t="shared" si="18"/>
        <v>1766.6666666666667</v>
      </c>
      <c r="T128" s="65">
        <f t="shared" si="19"/>
        <v>35333.333333333336</v>
      </c>
      <c r="U128" s="38">
        <f t="shared" si="20"/>
        <v>35333.400000000001</v>
      </c>
      <c r="V128" s="23">
        <f t="shared" si="21"/>
        <v>35333.333333333336</v>
      </c>
      <c r="W128" s="38" t="b">
        <f t="shared" si="22"/>
        <v>1</v>
      </c>
    </row>
    <row r="129">
      <c r="A129" s="23" t="str">
        <f t="shared" si="14"/>
        <v xml:space="preserve">отводы76ППУ ПЭ</v>
      </c>
      <c r="B129" s="28"/>
      <c r="C129" s="29"/>
      <c r="D129" s="28" t="s">
        <v>36</v>
      </c>
      <c r="E129" s="31">
        <v>76</v>
      </c>
      <c r="F129" s="31"/>
      <c r="G129" s="64"/>
      <c r="H129" s="28" t="s">
        <v>34</v>
      </c>
      <c r="I129" s="28"/>
      <c r="J129" s="37">
        <f t="shared" si="15"/>
        <v>20</v>
      </c>
      <c r="M129" s="38">
        <f t="shared" si="16"/>
        <v>20</v>
      </c>
      <c r="O129" s="37">
        <f t="shared" si="17"/>
        <v>1666.6666666666667</v>
      </c>
      <c r="P129" s="37">
        <v>1766.6700000000001</v>
      </c>
      <c r="Q129" s="37">
        <f t="shared" si="18"/>
        <v>1766.6666666666667</v>
      </c>
      <c r="T129" s="65">
        <f t="shared" si="19"/>
        <v>35333.333333333336</v>
      </c>
      <c r="U129" s="38">
        <f t="shared" si="20"/>
        <v>35333.400000000001</v>
      </c>
      <c r="V129" s="23">
        <f t="shared" si="21"/>
        <v>35333.333333333336</v>
      </c>
      <c r="W129" s="38" t="b">
        <f t="shared" si="22"/>
        <v>1</v>
      </c>
    </row>
    <row r="130">
      <c r="A130" s="23" t="str">
        <f t="shared" si="14"/>
        <v xml:space="preserve">отводы57ППУ ОЦ</v>
      </c>
      <c r="B130" s="28"/>
      <c r="C130" s="29"/>
      <c r="D130" s="28" t="s">
        <v>36</v>
      </c>
      <c r="E130" s="31">
        <v>57</v>
      </c>
      <c r="F130" s="31"/>
      <c r="G130" s="64"/>
      <c r="H130" s="31" t="s">
        <v>38</v>
      </c>
      <c r="I130" s="28"/>
      <c r="J130" s="37">
        <f t="shared" si="15"/>
        <v>44</v>
      </c>
      <c r="M130" s="38">
        <f t="shared" si="16"/>
        <v>44</v>
      </c>
      <c r="O130" s="37">
        <f t="shared" si="17"/>
        <v>1458.3333333333335</v>
      </c>
      <c r="P130" s="37">
        <v>1545.8299999999999</v>
      </c>
      <c r="Q130" s="37">
        <f t="shared" si="18"/>
        <v>1545.8333333333335</v>
      </c>
      <c r="T130" s="65">
        <f t="shared" si="19"/>
        <v>68016.666666666686</v>
      </c>
      <c r="U130" s="38">
        <f t="shared" si="20"/>
        <v>68016.520000000004</v>
      </c>
      <c r="V130" s="23">
        <f t="shared" si="21"/>
        <v>68016.666666666672</v>
      </c>
      <c r="W130" s="38" t="b">
        <f t="shared" si="22"/>
        <v>1</v>
      </c>
    </row>
    <row r="131">
      <c r="A131" s="23" t="str">
        <f t="shared" si="14"/>
        <v xml:space="preserve">отводы57ППУ ПЭ</v>
      </c>
      <c r="B131" s="28"/>
      <c r="C131" s="29"/>
      <c r="D131" s="28" t="s">
        <v>36</v>
      </c>
      <c r="E131" s="31">
        <v>57</v>
      </c>
      <c r="F131" s="31"/>
      <c r="G131" s="64"/>
      <c r="H131" s="28" t="s">
        <v>34</v>
      </c>
      <c r="I131" s="28"/>
      <c r="J131" s="37">
        <f t="shared" si="15"/>
        <v>70</v>
      </c>
      <c r="M131" s="69">
        <v>40</v>
      </c>
      <c r="O131" s="37">
        <f t="shared" si="17"/>
        <v>1458.3333333333335</v>
      </c>
      <c r="P131" s="37">
        <v>1545.8299999999999</v>
      </c>
      <c r="Q131" s="37">
        <f t="shared" si="18"/>
        <v>1545.8333333333335</v>
      </c>
      <c r="T131" s="65">
        <f t="shared" si="19"/>
        <v>108208.33333333334</v>
      </c>
      <c r="U131" s="38">
        <f t="shared" si="20"/>
        <v>61833.199999999997</v>
      </c>
      <c r="V131" s="23">
        <f t="shared" si="21"/>
        <v>61833.333333333343</v>
      </c>
      <c r="W131" s="38" t="b">
        <f t="shared" si="22"/>
        <v>0</v>
      </c>
    </row>
    <row r="132">
      <c r="A132" s="23" t="str">
        <f t="shared" si="14"/>
        <v xml:space="preserve">отводы40ППУ ОЦ</v>
      </c>
      <c r="B132" s="28"/>
      <c r="C132" s="29"/>
      <c r="D132" s="28" t="s">
        <v>36</v>
      </c>
      <c r="E132" s="31">
        <v>40</v>
      </c>
      <c r="F132" s="31"/>
      <c r="G132" s="64"/>
      <c r="H132" s="31" t="s">
        <v>38</v>
      </c>
      <c r="I132" s="28"/>
      <c r="J132" s="37">
        <f t="shared" si="15"/>
        <v>4</v>
      </c>
      <c r="K132" s="66"/>
      <c r="L132" s="67">
        <f>10</f>
        <v>10</v>
      </c>
      <c r="M132" s="38">
        <v>0</v>
      </c>
      <c r="O132" s="37">
        <f t="shared" si="17"/>
        <v>1375</v>
      </c>
      <c r="P132" s="37">
        <v>1457.5</v>
      </c>
      <c r="Q132" s="37">
        <f t="shared" si="18"/>
        <v>1457.5</v>
      </c>
      <c r="T132" s="65">
        <f t="shared" si="19"/>
        <v>5830</v>
      </c>
      <c r="U132" s="38">
        <f t="shared" si="20"/>
        <v>0</v>
      </c>
      <c r="V132" s="23">
        <f t="shared" si="21"/>
        <v>0</v>
      </c>
      <c r="W132" s="38" t="b">
        <f t="shared" si="22"/>
        <v>0</v>
      </c>
    </row>
    <row r="133">
      <c r="A133" s="23" t="str">
        <f t="shared" si="14"/>
        <v xml:space="preserve">отводы40ППУ ПЭ</v>
      </c>
      <c r="B133" s="28"/>
      <c r="C133" s="29"/>
      <c r="D133" s="28" t="s">
        <v>36</v>
      </c>
      <c r="E133" s="31">
        <v>40</v>
      </c>
      <c r="F133" s="31"/>
      <c r="G133" s="64"/>
      <c r="H133" s="28" t="s">
        <v>34</v>
      </c>
      <c r="I133" s="28"/>
      <c r="J133" s="37">
        <f t="shared" si="15"/>
        <v>10</v>
      </c>
      <c r="M133" s="38">
        <f t="shared" si="16"/>
        <v>10</v>
      </c>
      <c r="O133" s="37">
        <f t="shared" si="17"/>
        <v>1375</v>
      </c>
      <c r="P133" s="37">
        <v>1457.5</v>
      </c>
      <c r="Q133" s="37">
        <f t="shared" si="18"/>
        <v>1457.5</v>
      </c>
      <c r="T133" s="65">
        <f t="shared" si="19"/>
        <v>14575</v>
      </c>
      <c r="U133" s="38">
        <f t="shared" si="20"/>
        <v>14575</v>
      </c>
      <c r="V133" s="23">
        <f t="shared" si="21"/>
        <v>14575</v>
      </c>
      <c r="W133" s="38" t="b">
        <f t="shared" si="22"/>
        <v>1</v>
      </c>
    </row>
    <row r="134">
      <c r="A134" s="23" t="str">
        <f t="shared" si="14"/>
        <v xml:space="preserve">переходы57/40ППУ ПЭ</v>
      </c>
      <c r="B134" s="28"/>
      <c r="C134" s="29"/>
      <c r="D134" s="30" t="s">
        <v>43</v>
      </c>
      <c r="E134" s="31" t="s">
        <v>44</v>
      </c>
      <c r="F134" s="31"/>
      <c r="G134" s="64"/>
      <c r="H134" s="31" t="s">
        <v>34</v>
      </c>
      <c r="I134" s="28"/>
      <c r="J134" s="37">
        <f t="shared" si="15"/>
        <v>6</v>
      </c>
      <c r="M134" s="38">
        <f t="shared" si="16"/>
        <v>6</v>
      </c>
      <c r="O134" s="37">
        <f t="shared" si="17"/>
        <v>2000</v>
      </c>
      <c r="P134" s="37">
        <v>2120</v>
      </c>
      <c r="Q134" s="37">
        <f t="shared" si="18"/>
        <v>2120</v>
      </c>
      <c r="T134" s="65">
        <f t="shared" si="19"/>
        <v>12720</v>
      </c>
      <c r="U134" s="38">
        <f t="shared" si="20"/>
        <v>12720</v>
      </c>
      <c r="V134" s="23">
        <f t="shared" si="21"/>
        <v>12720</v>
      </c>
      <c r="W134" s="38" t="b">
        <f t="shared" si="22"/>
        <v>1</v>
      </c>
    </row>
    <row r="135">
      <c r="A135" s="23" t="str">
        <f t="shared" si="14"/>
        <v xml:space="preserve">переходы57/32ППУ ПЭ</v>
      </c>
      <c r="B135" s="28"/>
      <c r="C135" s="29"/>
      <c r="D135" s="30" t="s">
        <v>43</v>
      </c>
      <c r="E135" s="31" t="s">
        <v>91</v>
      </c>
      <c r="F135" s="31"/>
      <c r="G135" s="64"/>
      <c r="H135" s="31" t="s">
        <v>34</v>
      </c>
      <c r="I135" s="28"/>
      <c r="J135" s="37">
        <f t="shared" si="15"/>
        <v>2</v>
      </c>
      <c r="M135" s="38">
        <f t="shared" si="16"/>
        <v>2</v>
      </c>
      <c r="O135" s="37">
        <f t="shared" si="17"/>
        <v>1833.3333333333335</v>
      </c>
      <c r="P135" s="37">
        <v>1943.3299999999999</v>
      </c>
      <c r="Q135" s="37">
        <f t="shared" si="18"/>
        <v>1943.3333333333335</v>
      </c>
      <c r="T135" s="65">
        <f t="shared" si="19"/>
        <v>3886.666666666667</v>
      </c>
      <c r="U135" s="38">
        <f t="shared" si="20"/>
        <v>3886.6599999999999</v>
      </c>
      <c r="V135" s="23">
        <f t="shared" si="21"/>
        <v>3886.666666666667</v>
      </c>
      <c r="W135" s="38" t="b">
        <f t="shared" si="22"/>
        <v>1</v>
      </c>
    </row>
    <row r="136">
      <c r="A136" s="23" t="str">
        <f t="shared" si="14"/>
        <v xml:space="preserve">Тройники219/108/219ППУ ПЭ</v>
      </c>
      <c r="B136" s="28"/>
      <c r="C136" s="29"/>
      <c r="D136" s="30" t="s">
        <v>46</v>
      </c>
      <c r="E136" s="31" t="s">
        <v>47</v>
      </c>
      <c r="F136" s="31"/>
      <c r="G136" s="64"/>
      <c r="H136" s="31" t="s">
        <v>34</v>
      </c>
      <c r="I136" s="28"/>
      <c r="J136" s="37">
        <f t="shared" si="15"/>
        <v>8</v>
      </c>
      <c r="K136" s="66"/>
      <c r="L136" s="66">
        <f>0+2</f>
        <v>2</v>
      </c>
      <c r="M136" s="38">
        <f t="shared" si="16"/>
        <v>6</v>
      </c>
      <c r="O136" s="37">
        <f t="shared" si="17"/>
        <v>13333.333333333334</v>
      </c>
      <c r="P136" s="37">
        <v>14133.33</v>
      </c>
      <c r="Q136" s="37">
        <f t="shared" si="18"/>
        <v>14133.333333333334</v>
      </c>
      <c r="T136" s="65">
        <f t="shared" si="19"/>
        <v>113066.66666666667</v>
      </c>
      <c r="U136" s="38">
        <f t="shared" si="20"/>
        <v>84799.979999999996</v>
      </c>
      <c r="V136" s="23">
        <f t="shared" si="21"/>
        <v>84800</v>
      </c>
      <c r="W136" s="38" t="b">
        <f t="shared" si="22"/>
        <v>0</v>
      </c>
    </row>
    <row r="137">
      <c r="A137" s="23" t="str">
        <f t="shared" si="14"/>
        <v xml:space="preserve">Тройники219/89/219ППУ ПЭ</v>
      </c>
      <c r="B137" s="28"/>
      <c r="C137" s="29"/>
      <c r="D137" s="30" t="s">
        <v>46</v>
      </c>
      <c r="E137" s="31" t="s">
        <v>49</v>
      </c>
      <c r="F137" s="31"/>
      <c r="G137" s="64"/>
      <c r="H137" s="31" t="s">
        <v>34</v>
      </c>
      <c r="I137" s="28"/>
      <c r="J137" s="37">
        <f t="shared" si="15"/>
        <v>6</v>
      </c>
      <c r="K137" s="66"/>
      <c r="L137" s="66">
        <f>0+4</f>
        <v>4</v>
      </c>
      <c r="M137" s="38">
        <f t="shared" si="16"/>
        <v>2</v>
      </c>
      <c r="O137" s="37">
        <f t="shared" si="17"/>
        <v>12500</v>
      </c>
      <c r="P137" s="37">
        <v>13250</v>
      </c>
      <c r="Q137" s="37">
        <f t="shared" si="18"/>
        <v>13250</v>
      </c>
      <c r="T137" s="65">
        <f t="shared" si="19"/>
        <v>79500</v>
      </c>
      <c r="U137" s="38">
        <f t="shared" si="20"/>
        <v>26500</v>
      </c>
      <c r="V137" s="23">
        <f t="shared" si="21"/>
        <v>26500</v>
      </c>
      <c r="W137" s="38" t="b">
        <f t="shared" si="22"/>
        <v>0</v>
      </c>
    </row>
    <row r="138">
      <c r="A138" s="23" t="str">
        <f t="shared" si="14"/>
        <v xml:space="preserve">Тройники219/76/219ППУ ПЭ</v>
      </c>
      <c r="B138" s="28"/>
      <c r="C138" s="29"/>
      <c r="D138" s="30" t="s">
        <v>46</v>
      </c>
      <c r="E138" s="31" t="s">
        <v>51</v>
      </c>
      <c r="F138" s="31"/>
      <c r="G138" s="64"/>
      <c r="H138" s="31" t="s">
        <v>34</v>
      </c>
      <c r="I138" s="28"/>
      <c r="J138" s="37">
        <f t="shared" si="15"/>
        <v>6</v>
      </c>
      <c r="M138" s="38">
        <f t="shared" si="16"/>
        <v>6</v>
      </c>
      <c r="O138" s="37">
        <f t="shared" si="17"/>
        <v>12500</v>
      </c>
      <c r="P138" s="37">
        <v>13250</v>
      </c>
      <c r="Q138" s="37">
        <f t="shared" si="18"/>
        <v>13250</v>
      </c>
      <c r="T138" s="65">
        <f t="shared" si="19"/>
        <v>79500</v>
      </c>
      <c r="U138" s="38">
        <f t="shared" si="20"/>
        <v>79500</v>
      </c>
      <c r="V138" s="23">
        <f t="shared" si="21"/>
        <v>79500</v>
      </c>
      <c r="W138" s="38" t="b">
        <f t="shared" si="22"/>
        <v>1</v>
      </c>
    </row>
    <row r="139">
      <c r="A139" s="23" t="str">
        <f t="shared" si="14"/>
        <v xml:space="preserve">Тройники219/57/219ППУ ПЭ</v>
      </c>
      <c r="B139" s="28"/>
      <c r="C139" s="29"/>
      <c r="D139" s="30" t="s">
        <v>46</v>
      </c>
      <c r="E139" s="31" t="s">
        <v>53</v>
      </c>
      <c r="F139" s="31"/>
      <c r="G139" s="64"/>
      <c r="H139" s="31" t="s">
        <v>34</v>
      </c>
      <c r="I139" s="28"/>
      <c r="J139" s="37">
        <f t="shared" si="15"/>
        <v>4</v>
      </c>
      <c r="K139" s="66"/>
      <c r="L139" s="66">
        <f>0+2</f>
        <v>2</v>
      </c>
      <c r="M139" s="38">
        <f t="shared" si="16"/>
        <v>2</v>
      </c>
      <c r="O139" s="37">
        <f t="shared" si="17"/>
        <v>12500</v>
      </c>
      <c r="P139" s="37">
        <v>13250</v>
      </c>
      <c r="Q139" s="37">
        <f t="shared" si="18"/>
        <v>13250</v>
      </c>
      <c r="T139" s="65">
        <f t="shared" si="19"/>
        <v>53000</v>
      </c>
      <c r="U139" s="38">
        <f t="shared" si="20"/>
        <v>26500</v>
      </c>
      <c r="V139" s="23">
        <f t="shared" si="21"/>
        <v>26500</v>
      </c>
      <c r="W139" s="38" t="b">
        <f t="shared" si="22"/>
        <v>0</v>
      </c>
    </row>
    <row r="140">
      <c r="A140" s="23" t="str">
        <f t="shared" si="14"/>
        <v xml:space="preserve">Тройники108/57/108ППУ ПЭ</v>
      </c>
      <c r="B140" s="28"/>
      <c r="C140" s="29"/>
      <c r="D140" s="30" t="s">
        <v>46</v>
      </c>
      <c r="E140" s="31" t="s">
        <v>55</v>
      </c>
      <c r="F140" s="31"/>
      <c r="G140" s="64"/>
      <c r="H140" s="31" t="s">
        <v>34</v>
      </c>
      <c r="I140" s="28"/>
      <c r="J140" s="37">
        <f t="shared" si="15"/>
        <v>4</v>
      </c>
      <c r="M140" s="38">
        <f t="shared" si="16"/>
        <v>4</v>
      </c>
      <c r="O140" s="37">
        <f t="shared" si="17"/>
        <v>6666.666666666667</v>
      </c>
      <c r="P140" s="37">
        <v>7066.6700000000001</v>
      </c>
      <c r="Q140" s="37">
        <f t="shared" si="18"/>
        <v>7066.666666666667</v>
      </c>
      <c r="T140" s="65">
        <f t="shared" si="19"/>
        <v>28266.666666666668</v>
      </c>
      <c r="U140" s="38">
        <f t="shared" si="20"/>
        <v>28266.68</v>
      </c>
      <c r="V140" s="23">
        <f t="shared" si="21"/>
        <v>28266.666666666668</v>
      </c>
      <c r="W140" s="38" t="b">
        <f t="shared" si="22"/>
        <v>1</v>
      </c>
    </row>
    <row r="141">
      <c r="A141" s="23" t="str">
        <f t="shared" si="14"/>
        <v xml:space="preserve">Тройники57/57/57ППУ ПЭ</v>
      </c>
      <c r="B141" s="28"/>
      <c r="C141" s="29"/>
      <c r="D141" s="30" t="s">
        <v>46</v>
      </c>
      <c r="E141" s="31" t="s">
        <v>93</v>
      </c>
      <c r="F141" s="31"/>
      <c r="G141" s="64"/>
      <c r="H141" s="31" t="s">
        <v>34</v>
      </c>
      <c r="I141" s="28"/>
      <c r="J141" s="37">
        <f t="shared" si="15"/>
        <v>1</v>
      </c>
      <c r="M141" s="38">
        <f t="shared" si="16"/>
        <v>1</v>
      </c>
      <c r="O141" s="37">
        <f t="shared" si="17"/>
        <v>5000</v>
      </c>
      <c r="P141" s="37">
        <v>5300</v>
      </c>
      <c r="Q141" s="37">
        <f t="shared" si="18"/>
        <v>5300</v>
      </c>
      <c r="T141" s="65">
        <f t="shared" si="19"/>
        <v>5300</v>
      </c>
      <c r="U141" s="38">
        <f t="shared" si="20"/>
        <v>5300</v>
      </c>
      <c r="V141" s="23">
        <f t="shared" si="21"/>
        <v>5300</v>
      </c>
      <c r="W141" s="38" t="b">
        <f t="shared" si="22"/>
        <v>1</v>
      </c>
    </row>
    <row r="142">
      <c r="A142" s="23" t="str">
        <f t="shared" si="14"/>
        <v xml:space="preserve">Тройниковое ответвление57/57/57ППУ ПЭ</v>
      </c>
      <c r="B142" s="28"/>
      <c r="C142" s="29"/>
      <c r="D142" s="30" t="s">
        <v>94</v>
      </c>
      <c r="E142" s="31" t="s">
        <v>93</v>
      </c>
      <c r="F142" s="31"/>
      <c r="G142" s="64"/>
      <c r="H142" s="31" t="s">
        <v>34</v>
      </c>
      <c r="I142" s="28"/>
      <c r="J142" s="37">
        <f t="shared" si="15"/>
        <v>1</v>
      </c>
      <c r="M142" s="38">
        <f t="shared" si="16"/>
        <v>1</v>
      </c>
      <c r="O142" s="37">
        <f t="shared" si="17"/>
        <v>5000</v>
      </c>
      <c r="P142" s="37">
        <v>5300</v>
      </c>
      <c r="Q142" s="37">
        <f t="shared" si="18"/>
        <v>5300</v>
      </c>
      <c r="T142" s="65">
        <f t="shared" si="19"/>
        <v>5300</v>
      </c>
      <c r="U142" s="38">
        <f t="shared" si="20"/>
        <v>5300</v>
      </c>
      <c r="V142" s="23">
        <f t="shared" si="21"/>
        <v>5300</v>
      </c>
      <c r="W142" s="38" t="b">
        <f t="shared" si="22"/>
        <v>1</v>
      </c>
    </row>
    <row r="143">
      <c r="A143" s="23" t="str">
        <f t="shared" si="14"/>
        <v xml:space="preserve">шар кран200шар кран</v>
      </c>
      <c r="B143" s="28"/>
      <c r="C143" s="29"/>
      <c r="D143" s="30" t="s">
        <v>57</v>
      </c>
      <c r="E143" s="31">
        <v>200</v>
      </c>
      <c r="F143" s="31"/>
      <c r="G143" s="64"/>
      <c r="H143" s="40" t="s">
        <v>57</v>
      </c>
      <c r="I143" s="28"/>
      <c r="J143" s="37">
        <f t="shared" si="15"/>
        <v>2</v>
      </c>
      <c r="M143" s="38">
        <f t="shared" si="16"/>
        <v>2</v>
      </c>
      <c r="O143" s="37">
        <f t="shared" si="17"/>
        <v>29166.666666666668</v>
      </c>
      <c r="P143" s="37">
        <v>30916.669999999998</v>
      </c>
      <c r="Q143" s="37">
        <f t="shared" si="18"/>
        <v>30916.666666666668</v>
      </c>
      <c r="T143" s="37">
        <f t="shared" si="19"/>
        <v>61833.333333333336</v>
      </c>
      <c r="U143" s="38">
        <f t="shared" si="20"/>
        <v>61833.339999999997</v>
      </c>
      <c r="V143" s="23">
        <f t="shared" si="21"/>
        <v>61833.333333333336</v>
      </c>
      <c r="W143" s="38" t="b">
        <f t="shared" si="22"/>
        <v>1</v>
      </c>
    </row>
    <row r="144">
      <c r="A144" s="23" t="str">
        <f t="shared" si="14"/>
        <v xml:space="preserve">шар кран100шар кран</v>
      </c>
      <c r="B144" s="28"/>
      <c r="C144" s="29"/>
      <c r="D144" s="40" t="s">
        <v>57</v>
      </c>
      <c r="E144" s="31">
        <v>100</v>
      </c>
      <c r="F144" s="31"/>
      <c r="G144" s="64"/>
      <c r="H144" s="40" t="s">
        <v>57</v>
      </c>
      <c r="I144" s="28"/>
      <c r="J144" s="37">
        <f t="shared" si="15"/>
        <v>2</v>
      </c>
      <c r="M144" s="38">
        <f t="shared" si="16"/>
        <v>2</v>
      </c>
      <c r="O144" s="37">
        <f t="shared" si="17"/>
        <v>16666.666666666668</v>
      </c>
      <c r="P144" s="37">
        <v>17666.669999999998</v>
      </c>
      <c r="Q144" s="37">
        <f t="shared" si="18"/>
        <v>17666.666666666668</v>
      </c>
      <c r="T144" s="37">
        <f t="shared" si="19"/>
        <v>35333.333333333336</v>
      </c>
      <c r="U144" s="38">
        <f t="shared" si="20"/>
        <v>35333.339999999997</v>
      </c>
      <c r="V144" s="23">
        <f t="shared" si="21"/>
        <v>35333.333333333336</v>
      </c>
      <c r="W144" s="38" t="b">
        <f t="shared" si="22"/>
        <v>1</v>
      </c>
    </row>
    <row r="145">
      <c r="A145" s="23" t="str">
        <f t="shared" si="14"/>
        <v xml:space="preserve">шар кран80шар кран</v>
      </c>
      <c r="B145" s="28"/>
      <c r="C145" s="29"/>
      <c r="D145" s="40" t="s">
        <v>57</v>
      </c>
      <c r="E145" s="31">
        <v>80</v>
      </c>
      <c r="F145" s="31"/>
      <c r="G145" s="64"/>
      <c r="H145" s="40" t="s">
        <v>57</v>
      </c>
      <c r="I145" s="28"/>
      <c r="J145" s="37">
        <f t="shared" si="15"/>
        <v>2</v>
      </c>
      <c r="M145" s="38">
        <f t="shared" si="16"/>
        <v>2</v>
      </c>
      <c r="O145" s="37">
        <f t="shared" si="17"/>
        <v>14166.666666666668</v>
      </c>
      <c r="P145" s="37">
        <v>15016.67</v>
      </c>
      <c r="Q145" s="37">
        <f t="shared" si="18"/>
        <v>15016.666666666668</v>
      </c>
      <c r="T145" s="37">
        <f t="shared" si="19"/>
        <v>30033.333333333336</v>
      </c>
      <c r="U145" s="38">
        <f t="shared" si="20"/>
        <v>30033.34</v>
      </c>
      <c r="V145" s="23">
        <f t="shared" si="21"/>
        <v>30033.333333333336</v>
      </c>
      <c r="W145" s="38" t="b">
        <f t="shared" si="22"/>
        <v>1</v>
      </c>
    </row>
    <row r="146">
      <c r="A146" s="23" t="str">
        <f t="shared" si="14"/>
        <v xml:space="preserve">шар кран65шар кран</v>
      </c>
      <c r="B146" s="28"/>
      <c r="C146" s="29"/>
      <c r="D146" s="40" t="s">
        <v>57</v>
      </c>
      <c r="E146" s="31">
        <v>65</v>
      </c>
      <c r="F146" s="31"/>
      <c r="G146" s="64"/>
      <c r="H146" s="40" t="s">
        <v>57</v>
      </c>
      <c r="I146" s="28"/>
      <c r="J146" s="37">
        <f t="shared" si="15"/>
        <v>2</v>
      </c>
      <c r="M146" s="38">
        <f t="shared" si="16"/>
        <v>2</v>
      </c>
      <c r="O146" s="37">
        <f t="shared" si="17"/>
        <v>12500</v>
      </c>
      <c r="P146" s="37">
        <v>13250</v>
      </c>
      <c r="Q146" s="37">
        <f t="shared" si="18"/>
        <v>13250</v>
      </c>
      <c r="T146" s="37">
        <f t="shared" si="19"/>
        <v>26500</v>
      </c>
      <c r="U146" s="38">
        <f t="shared" si="20"/>
        <v>26500</v>
      </c>
      <c r="V146" s="23">
        <f t="shared" si="21"/>
        <v>26500</v>
      </c>
      <c r="W146" s="38" t="b">
        <f t="shared" si="22"/>
        <v>1</v>
      </c>
    </row>
    <row r="147">
      <c r="A147" s="23" t="str">
        <f t="shared" si="14"/>
        <v xml:space="preserve">шар кран50шар кран</v>
      </c>
      <c r="B147" s="28"/>
      <c r="C147" s="29"/>
      <c r="D147" s="40" t="s">
        <v>57</v>
      </c>
      <c r="E147" s="31">
        <v>50</v>
      </c>
      <c r="F147" s="31"/>
      <c r="G147" s="64"/>
      <c r="H147" s="40" t="s">
        <v>57</v>
      </c>
      <c r="I147" s="28"/>
      <c r="J147" s="37">
        <f t="shared" si="15"/>
        <v>22</v>
      </c>
      <c r="K147" s="66"/>
      <c r="L147" s="66">
        <f>6</f>
        <v>6</v>
      </c>
      <c r="M147" s="38">
        <f t="shared" si="16"/>
        <v>16</v>
      </c>
      <c r="O147" s="37">
        <f t="shared" si="17"/>
        <v>10000</v>
      </c>
      <c r="P147" s="37">
        <v>10600</v>
      </c>
      <c r="Q147" s="37">
        <f t="shared" si="18"/>
        <v>10600</v>
      </c>
      <c r="T147" s="37">
        <f t="shared" si="19"/>
        <v>233200</v>
      </c>
      <c r="U147" s="38">
        <f t="shared" si="20"/>
        <v>169600</v>
      </c>
      <c r="V147" s="23">
        <f t="shared" si="21"/>
        <v>169600</v>
      </c>
      <c r="W147" s="38" t="b">
        <f t="shared" si="22"/>
        <v>0</v>
      </c>
    </row>
    <row r="148">
      <c r="A148" s="23" t="str">
        <f t="shared" si="14"/>
        <v xml:space="preserve">шар кран40шар кран</v>
      </c>
      <c r="B148" s="28"/>
      <c r="C148" s="29"/>
      <c r="D148" s="40" t="s">
        <v>57</v>
      </c>
      <c r="E148" s="31">
        <v>40</v>
      </c>
      <c r="F148" s="31"/>
      <c r="G148" s="64"/>
      <c r="H148" s="40" t="s">
        <v>57</v>
      </c>
      <c r="I148" s="28"/>
      <c r="J148" s="37">
        <f t="shared" si="15"/>
        <v>6</v>
      </c>
      <c r="M148" s="38">
        <f t="shared" si="16"/>
        <v>6</v>
      </c>
      <c r="O148" s="37">
        <f t="shared" si="17"/>
        <v>8333.3333333333339</v>
      </c>
      <c r="P148" s="37">
        <v>8833.3299999999999</v>
      </c>
      <c r="Q148" s="37">
        <f t="shared" si="18"/>
        <v>8833.3333333333339</v>
      </c>
      <c r="T148" s="37">
        <f t="shared" si="19"/>
        <v>53000</v>
      </c>
      <c r="U148" s="38">
        <f t="shared" si="20"/>
        <v>52999.980000000003</v>
      </c>
      <c r="V148" s="23">
        <f t="shared" si="21"/>
        <v>53000</v>
      </c>
      <c r="W148" s="38" t="b">
        <f t="shared" si="22"/>
        <v>1</v>
      </c>
    </row>
    <row r="149">
      <c r="A149" s="23" t="str">
        <f t="shared" si="14"/>
        <v xml:space="preserve">КЗСКЗС(Ц)-219/315ППУ ОЦ</v>
      </c>
      <c r="B149" s="28"/>
      <c r="C149" s="29"/>
      <c r="D149" s="30" t="s">
        <v>58</v>
      </c>
      <c r="E149" s="31" t="s">
        <v>59</v>
      </c>
      <c r="F149" s="31">
        <v>315</v>
      </c>
      <c r="G149" s="64"/>
      <c r="H149" s="28" t="s">
        <v>38</v>
      </c>
      <c r="I149" s="28"/>
      <c r="J149" s="37">
        <f t="shared" si="15"/>
        <v>22</v>
      </c>
      <c r="M149" s="38">
        <f t="shared" si="16"/>
        <v>22</v>
      </c>
      <c r="O149" s="37">
        <f t="shared" si="17"/>
        <v>1805</v>
      </c>
      <c r="P149" s="37">
        <v>1913.3000000000002</v>
      </c>
      <c r="Q149" s="37">
        <f t="shared" si="18"/>
        <v>1913.3000000000002</v>
      </c>
      <c r="T149" s="65">
        <f t="shared" si="19"/>
        <v>42092.600000000006</v>
      </c>
      <c r="U149" s="38">
        <f t="shared" si="20"/>
        <v>42092.599999999999</v>
      </c>
      <c r="V149" s="23">
        <f t="shared" si="21"/>
        <v>42092.600000000006</v>
      </c>
      <c r="W149" s="38" t="b">
        <f t="shared" si="22"/>
        <v>1</v>
      </c>
    </row>
    <row r="150">
      <c r="A150" s="23" t="str">
        <f t="shared" si="14"/>
        <v xml:space="preserve">КЗСКЗС(Т)-219/315ППУ ПЭ</v>
      </c>
      <c r="B150" s="28"/>
      <c r="C150" s="29"/>
      <c r="D150" s="30" t="s">
        <v>58</v>
      </c>
      <c r="E150" s="31" t="s">
        <v>60</v>
      </c>
      <c r="F150" s="31">
        <v>315</v>
      </c>
      <c r="G150" s="64"/>
      <c r="H150" s="28" t="s">
        <v>34</v>
      </c>
      <c r="I150" s="28"/>
      <c r="J150" s="37">
        <f t="shared" si="15"/>
        <v>136</v>
      </c>
      <c r="M150" s="38">
        <f t="shared" si="16"/>
        <v>136</v>
      </c>
      <c r="O150" s="37">
        <f t="shared" si="17"/>
        <v>1421.6666666666667</v>
      </c>
      <c r="P150" s="37">
        <v>1506.97</v>
      </c>
      <c r="Q150" s="37">
        <f t="shared" si="18"/>
        <v>1506.9666666666669</v>
      </c>
      <c r="T150" s="65">
        <f t="shared" si="19"/>
        <v>204947.4666666667</v>
      </c>
      <c r="U150" s="38">
        <f t="shared" si="20"/>
        <v>204947.92000000001</v>
      </c>
      <c r="V150" s="23">
        <f t="shared" si="21"/>
        <v>204947.4666666667</v>
      </c>
      <c r="W150" s="38" t="b">
        <f t="shared" si="22"/>
        <v>1</v>
      </c>
    </row>
    <row r="151">
      <c r="A151" s="23" t="str">
        <f t="shared" si="14"/>
        <v xml:space="preserve">КЗСКЗС(Т)-133/225ППУ ПЭ</v>
      </c>
      <c r="B151" s="28"/>
      <c r="C151" s="29"/>
      <c r="D151" s="40" t="s">
        <v>58</v>
      </c>
      <c r="E151" s="31" t="s">
        <v>85</v>
      </c>
      <c r="F151" s="31">
        <v>225</v>
      </c>
      <c r="G151" s="64"/>
      <c r="H151" s="28" t="s">
        <v>34</v>
      </c>
      <c r="I151" s="28"/>
      <c r="J151" s="37">
        <f t="shared" si="15"/>
        <v>14</v>
      </c>
      <c r="M151" s="38">
        <f t="shared" si="16"/>
        <v>14</v>
      </c>
      <c r="O151" s="37">
        <f t="shared" si="17"/>
        <v>897.5</v>
      </c>
      <c r="P151" s="37">
        <v>951.35000000000002</v>
      </c>
      <c r="Q151" s="37">
        <f t="shared" si="18"/>
        <v>951.35000000000002</v>
      </c>
      <c r="T151" s="65">
        <f t="shared" si="19"/>
        <v>13318.9</v>
      </c>
      <c r="U151" s="38">
        <f t="shared" si="20"/>
        <v>13318.9</v>
      </c>
      <c r="V151" s="23">
        <f t="shared" si="21"/>
        <v>13318.9</v>
      </c>
      <c r="W151" s="38" t="b">
        <f t="shared" si="22"/>
        <v>1</v>
      </c>
    </row>
    <row r="152">
      <c r="A152" s="23" t="str">
        <f t="shared" si="14"/>
        <v xml:space="preserve">КЗСКЗС(Ц)-108/180ППУ ОЦ</v>
      </c>
      <c r="B152" s="28"/>
      <c r="C152" s="29"/>
      <c r="D152" s="30" t="s">
        <v>58</v>
      </c>
      <c r="E152" s="31" t="s">
        <v>61</v>
      </c>
      <c r="F152" s="31">
        <v>180</v>
      </c>
      <c r="G152" s="64"/>
      <c r="H152" s="28" t="s">
        <v>38</v>
      </c>
      <c r="I152" s="28"/>
      <c r="J152" s="37">
        <f t="shared" si="15"/>
        <v>30</v>
      </c>
      <c r="M152" s="38">
        <f t="shared" si="16"/>
        <v>30</v>
      </c>
      <c r="O152" s="37">
        <f t="shared" si="17"/>
        <v>1148.3333333333335</v>
      </c>
      <c r="P152" s="37">
        <v>1217.23</v>
      </c>
      <c r="Q152" s="37">
        <f t="shared" si="18"/>
        <v>1217.2333333333336</v>
      </c>
      <c r="T152" s="65">
        <f t="shared" si="19"/>
        <v>36517.000000000007</v>
      </c>
      <c r="U152" s="38">
        <f t="shared" si="20"/>
        <v>36516.900000000001</v>
      </c>
      <c r="V152" s="23">
        <f t="shared" si="21"/>
        <v>36517.000000000007</v>
      </c>
      <c r="W152" s="38" t="b">
        <f t="shared" si="22"/>
        <v>1</v>
      </c>
    </row>
    <row r="153">
      <c r="A153" s="23" t="str">
        <f t="shared" si="14"/>
        <v xml:space="preserve">КЗСКЗС(Т)-108/180ППУ ПЭ</v>
      </c>
      <c r="B153" s="28"/>
      <c r="C153" s="29"/>
      <c r="D153" s="30" t="s">
        <v>58</v>
      </c>
      <c r="E153" s="31" t="s">
        <v>62</v>
      </c>
      <c r="F153" s="31">
        <v>180</v>
      </c>
      <c r="G153" s="64"/>
      <c r="H153" s="28" t="s">
        <v>34</v>
      </c>
      <c r="I153" s="28"/>
      <c r="J153" s="37">
        <f t="shared" si="15"/>
        <v>38</v>
      </c>
      <c r="M153" s="38">
        <f t="shared" si="16"/>
        <v>38</v>
      </c>
      <c r="O153" s="37">
        <f t="shared" si="17"/>
        <v>646.66666666666674</v>
      </c>
      <c r="P153" s="37">
        <v>685.47000000000003</v>
      </c>
      <c r="Q153" s="37">
        <f t="shared" si="18"/>
        <v>685.46666666666681</v>
      </c>
      <c r="T153" s="65">
        <f t="shared" si="19"/>
        <v>26047.733333333337</v>
      </c>
      <c r="U153" s="38">
        <f t="shared" si="20"/>
        <v>26047.860000000001</v>
      </c>
      <c r="V153" s="23">
        <f t="shared" si="21"/>
        <v>26047.733333333337</v>
      </c>
      <c r="W153" s="38" t="b">
        <f t="shared" si="22"/>
        <v>1</v>
      </c>
    </row>
    <row r="154">
      <c r="A154" s="23" t="str">
        <f t="shared" si="14"/>
        <v xml:space="preserve">КЗСКЗС(Т)-89/160ППУ ПЭ</v>
      </c>
      <c r="B154" s="28"/>
      <c r="C154" s="29"/>
      <c r="D154" s="30" t="s">
        <v>58</v>
      </c>
      <c r="E154" s="31" t="s">
        <v>64</v>
      </c>
      <c r="F154" s="31">
        <v>160</v>
      </c>
      <c r="G154" s="64"/>
      <c r="H154" s="28" t="s">
        <v>34</v>
      </c>
      <c r="I154" s="28"/>
      <c r="J154" s="37">
        <f t="shared" si="15"/>
        <v>16</v>
      </c>
      <c r="M154" s="38">
        <f t="shared" si="16"/>
        <v>16</v>
      </c>
      <c r="O154" s="37">
        <f t="shared" si="17"/>
        <v>584.16666666666674</v>
      </c>
      <c r="P154" s="37">
        <v>619.22000000000003</v>
      </c>
      <c r="Q154" s="37">
        <f t="shared" si="18"/>
        <v>619.21666666666681</v>
      </c>
      <c r="T154" s="65">
        <f t="shared" si="19"/>
        <v>9907.466666666669</v>
      </c>
      <c r="U154" s="38">
        <f t="shared" si="20"/>
        <v>9907.5200000000004</v>
      </c>
      <c r="V154" s="23">
        <f t="shared" si="21"/>
        <v>9907.466666666669</v>
      </c>
      <c r="W154" s="38" t="b">
        <f t="shared" si="22"/>
        <v>1</v>
      </c>
    </row>
    <row r="155">
      <c r="A155" s="23" t="str">
        <f t="shared" si="14"/>
        <v xml:space="preserve">КЗСКЗС(Ц)-89/160ППУ ОЦ</v>
      </c>
      <c r="B155" s="28"/>
      <c r="C155" s="29"/>
      <c r="D155" s="30" t="s">
        <v>58</v>
      </c>
      <c r="E155" s="31" t="s">
        <v>63</v>
      </c>
      <c r="F155" s="31">
        <v>160</v>
      </c>
      <c r="G155" s="64"/>
      <c r="H155" s="28" t="s">
        <v>38</v>
      </c>
      <c r="I155" s="28"/>
      <c r="J155" s="37">
        <f t="shared" si="15"/>
        <v>14</v>
      </c>
      <c r="M155" s="38">
        <f t="shared" si="16"/>
        <v>14</v>
      </c>
      <c r="O155" s="37">
        <f t="shared" si="17"/>
        <v>1051.6666666666667</v>
      </c>
      <c r="P155" s="37">
        <v>1114.77</v>
      </c>
      <c r="Q155" s="37">
        <f t="shared" si="18"/>
        <v>1114.7666666666669</v>
      </c>
      <c r="T155" s="65">
        <f t="shared" si="19"/>
        <v>15606.733333333337</v>
      </c>
      <c r="U155" s="38">
        <f t="shared" si="20"/>
        <v>15606.780000000001</v>
      </c>
      <c r="V155" s="23">
        <f t="shared" si="21"/>
        <v>15606.733333333337</v>
      </c>
      <c r="W155" s="38" t="b">
        <f t="shared" si="22"/>
        <v>1</v>
      </c>
    </row>
    <row r="156">
      <c r="A156" s="23" t="str">
        <f t="shared" si="14"/>
        <v xml:space="preserve">КЗСКЗС(Ц)-76/140ППУ ОЦ</v>
      </c>
      <c r="B156" s="28"/>
      <c r="C156" s="29"/>
      <c r="D156" s="30" t="s">
        <v>58</v>
      </c>
      <c r="E156" s="31" t="s">
        <v>65</v>
      </c>
      <c r="F156" s="31">
        <v>140</v>
      </c>
      <c r="G156" s="64"/>
      <c r="H156" s="28" t="s">
        <v>38</v>
      </c>
      <c r="I156" s="28"/>
      <c r="J156" s="37">
        <f t="shared" si="15"/>
        <v>16</v>
      </c>
      <c r="M156" s="38">
        <f t="shared" si="16"/>
        <v>16</v>
      </c>
      <c r="O156" s="37">
        <f t="shared" si="17"/>
        <v>981.66666666666674</v>
      </c>
      <c r="P156" s="37">
        <v>1040.5699999999999</v>
      </c>
      <c r="Q156" s="37">
        <f t="shared" si="18"/>
        <v>1040.5666666666668</v>
      </c>
      <c r="T156" s="65">
        <f t="shared" si="19"/>
        <v>16649.066666666669</v>
      </c>
      <c r="U156" s="38">
        <f t="shared" si="20"/>
        <v>16649.119999999999</v>
      </c>
      <c r="V156" s="23">
        <f t="shared" si="21"/>
        <v>16649.066666666669</v>
      </c>
      <c r="W156" s="38" t="b">
        <f t="shared" si="22"/>
        <v>1</v>
      </c>
    </row>
    <row r="157">
      <c r="A157" s="23" t="str">
        <f t="shared" si="14"/>
        <v xml:space="preserve">КЗСКЗС(Т)-76/140ППУ ПЭ</v>
      </c>
      <c r="B157" s="28"/>
      <c r="C157" s="29"/>
      <c r="D157" s="30" t="s">
        <v>58</v>
      </c>
      <c r="E157" s="31" t="s">
        <v>66</v>
      </c>
      <c r="F157" s="31">
        <v>140</v>
      </c>
      <c r="G157" s="64"/>
      <c r="H157" s="28" t="s">
        <v>34</v>
      </c>
      <c r="I157" s="28"/>
      <c r="J157" s="37">
        <f t="shared" si="15"/>
        <v>56</v>
      </c>
      <c r="M157" s="38">
        <f t="shared" si="16"/>
        <v>56</v>
      </c>
      <c r="O157" s="37">
        <f t="shared" si="17"/>
        <v>538.33333333333337</v>
      </c>
      <c r="P157" s="37">
        <v>570.63</v>
      </c>
      <c r="Q157" s="37">
        <f t="shared" si="18"/>
        <v>570.63333333333344</v>
      </c>
      <c r="T157" s="65">
        <f t="shared" si="19"/>
        <v>31955.466666666674</v>
      </c>
      <c r="U157" s="38">
        <f t="shared" si="20"/>
        <v>31955.279999999999</v>
      </c>
      <c r="V157" s="23">
        <f t="shared" si="21"/>
        <v>31955.466666666674</v>
      </c>
      <c r="W157" s="38" t="b">
        <f t="shared" si="22"/>
        <v>1</v>
      </c>
    </row>
    <row r="158">
      <c r="A158" s="23" t="str">
        <f t="shared" si="14"/>
        <v xml:space="preserve">КЗСКЗС(Ц)-57/125ППУ ОЦ</v>
      </c>
      <c r="B158" s="28"/>
      <c r="C158" s="29"/>
      <c r="D158" s="30" t="s">
        <v>58</v>
      </c>
      <c r="E158" s="31" t="s">
        <v>67</v>
      </c>
      <c r="F158" s="31">
        <v>125</v>
      </c>
      <c r="G158" s="64"/>
      <c r="H158" s="28" t="s">
        <v>38</v>
      </c>
      <c r="I158" s="28"/>
      <c r="J158" s="37">
        <f t="shared" si="15"/>
        <v>90</v>
      </c>
      <c r="M158" s="38">
        <f t="shared" si="16"/>
        <v>90</v>
      </c>
      <c r="O158" s="37">
        <f t="shared" si="17"/>
        <v>981.66666666666674</v>
      </c>
      <c r="P158" s="37">
        <v>1040.5699999999999</v>
      </c>
      <c r="Q158" s="37">
        <f t="shared" si="18"/>
        <v>1040.5666666666668</v>
      </c>
      <c r="T158" s="65">
        <f t="shared" si="19"/>
        <v>93651.000000000015</v>
      </c>
      <c r="U158" s="38">
        <f t="shared" si="20"/>
        <v>93651.300000000003</v>
      </c>
      <c r="V158" s="23">
        <f t="shared" si="21"/>
        <v>93651.000000000015</v>
      </c>
      <c r="W158" s="38" t="b">
        <f t="shared" si="22"/>
        <v>1</v>
      </c>
    </row>
    <row r="159">
      <c r="A159" s="23" t="str">
        <f t="shared" si="14"/>
        <v xml:space="preserve">КЗСКЗС(Т)-57/125ППУ ПЭ</v>
      </c>
      <c r="B159" s="28"/>
      <c r="C159" s="29"/>
      <c r="D159" s="30" t="s">
        <v>58</v>
      </c>
      <c r="E159" s="31" t="s">
        <v>68</v>
      </c>
      <c r="F159" s="31">
        <v>125</v>
      </c>
      <c r="G159" s="64"/>
      <c r="H159" s="28" t="s">
        <v>34</v>
      </c>
      <c r="I159" s="28"/>
      <c r="J159" s="37">
        <f t="shared" si="15"/>
        <v>178</v>
      </c>
      <c r="M159" s="38">
        <f t="shared" si="16"/>
        <v>178</v>
      </c>
      <c r="O159" s="37">
        <f t="shared" si="17"/>
        <v>479.16666666666669</v>
      </c>
      <c r="P159" s="37">
        <v>507.92000000000002</v>
      </c>
      <c r="Q159" s="37">
        <f t="shared" si="18"/>
        <v>507.91666666666669</v>
      </c>
      <c r="T159" s="65">
        <f t="shared" si="19"/>
        <v>90409.166666666672</v>
      </c>
      <c r="U159" s="38">
        <f t="shared" si="20"/>
        <v>90409.759999999995</v>
      </c>
      <c r="V159" s="23">
        <f t="shared" si="21"/>
        <v>90409.166666666672</v>
      </c>
      <c r="W159" s="38" t="b">
        <f t="shared" si="22"/>
        <v>1</v>
      </c>
    </row>
    <row r="160">
      <c r="A160" s="23" t="str">
        <f t="shared" si="14"/>
        <v xml:space="preserve">КЗСКЗС(Т)-40/125ППУ ПЭ</v>
      </c>
      <c r="B160" s="28"/>
      <c r="C160" s="29"/>
      <c r="D160" s="30" t="s">
        <v>58</v>
      </c>
      <c r="E160" s="31" t="s">
        <v>89</v>
      </c>
      <c r="F160" s="31">
        <v>125</v>
      </c>
      <c r="G160" s="64"/>
      <c r="H160" s="28" t="s">
        <v>34</v>
      </c>
      <c r="I160" s="28"/>
      <c r="J160" s="37">
        <f t="shared" si="15"/>
        <v>32</v>
      </c>
      <c r="M160" s="38">
        <f t="shared" si="16"/>
        <v>32</v>
      </c>
      <c r="O160" s="37">
        <f t="shared" si="17"/>
        <v>479.16666666666669</v>
      </c>
      <c r="P160" s="37">
        <v>507.92000000000002</v>
      </c>
      <c r="Q160" s="37">
        <f t="shared" si="18"/>
        <v>507.91666666666669</v>
      </c>
      <c r="T160" s="65">
        <f t="shared" si="19"/>
        <v>16253.333333333334</v>
      </c>
      <c r="U160" s="38">
        <f t="shared" si="20"/>
        <v>16253.440000000001</v>
      </c>
      <c r="V160" s="23">
        <f t="shared" si="21"/>
        <v>16253.333333333334</v>
      </c>
      <c r="W160" s="38" t="b">
        <f t="shared" si="22"/>
        <v>1</v>
      </c>
    </row>
    <row r="161">
      <c r="A161" s="23" t="str">
        <f t="shared" si="14"/>
        <v xml:space="preserve">КЗСКЗС(Ц)-40/125ППУ ОЦ</v>
      </c>
      <c r="B161" s="28"/>
      <c r="C161" s="29"/>
      <c r="D161" s="30" t="s">
        <v>58</v>
      </c>
      <c r="E161" s="31" t="s">
        <v>69</v>
      </c>
      <c r="F161" s="31">
        <v>125</v>
      </c>
      <c r="G161" s="64"/>
      <c r="H161" s="28" t="s">
        <v>38</v>
      </c>
      <c r="I161" s="28"/>
      <c r="J161" s="37">
        <f t="shared" si="15"/>
        <v>24</v>
      </c>
      <c r="M161" s="38">
        <f t="shared" si="16"/>
        <v>24</v>
      </c>
      <c r="O161" s="37">
        <f t="shared" si="17"/>
        <v>862.5</v>
      </c>
      <c r="P161" s="37">
        <v>914.25</v>
      </c>
      <c r="Q161" s="37">
        <f t="shared" si="18"/>
        <v>914.25</v>
      </c>
      <c r="T161" s="65">
        <f t="shared" si="19"/>
        <v>21942</v>
      </c>
      <c r="U161" s="38">
        <f t="shared" si="20"/>
        <v>21942</v>
      </c>
      <c r="V161" s="23">
        <f t="shared" si="21"/>
        <v>21942</v>
      </c>
      <c r="W161" s="38" t="b">
        <f t="shared" si="22"/>
        <v>1</v>
      </c>
    </row>
    <row r="162" ht="40.75">
      <c r="A162" s="23" t="str">
        <f t="shared" si="14"/>
        <v xml:space="preserve">расходные материалыгаз техническийгаз технический</v>
      </c>
      <c r="B162" s="28"/>
      <c r="C162" s="29"/>
      <c r="D162" s="40" t="s">
        <v>70</v>
      </c>
      <c r="E162" s="31" t="s">
        <v>71</v>
      </c>
      <c r="F162" s="31"/>
      <c r="G162" s="64"/>
      <c r="H162" s="31" t="s">
        <v>71</v>
      </c>
      <c r="I162" s="28"/>
      <c r="J162" s="37">
        <f t="shared" si="15"/>
        <v>26</v>
      </c>
      <c r="M162" s="38">
        <f t="shared" si="16"/>
        <v>26</v>
      </c>
      <c r="O162" s="37">
        <f t="shared" si="17"/>
        <v>220</v>
      </c>
      <c r="P162" s="37">
        <v>233.20000000000002</v>
      </c>
      <c r="Q162" s="37">
        <f t="shared" si="18"/>
        <v>233.20000000000002</v>
      </c>
      <c r="T162" s="37">
        <f t="shared" si="19"/>
        <v>6063.2000000000007</v>
      </c>
      <c r="U162" s="38">
        <f t="shared" si="20"/>
        <v>6063.1999999999998</v>
      </c>
      <c r="V162" s="23">
        <f t="shared" si="21"/>
        <v>6063.2000000000007</v>
      </c>
      <c r="W162" s="38" t="b">
        <f t="shared" si="22"/>
        <v>1</v>
      </c>
    </row>
    <row r="163" ht="40.75">
      <c r="A163" s="23" t="str">
        <f t="shared" si="14"/>
        <v xml:space="preserve">расходные материалыСмесь пропан-бутанаСмесь пропан-бутана</v>
      </c>
      <c r="B163" s="28"/>
      <c r="C163" s="29"/>
      <c r="D163" s="40" t="s">
        <v>70</v>
      </c>
      <c r="E163" s="31" t="s">
        <v>73</v>
      </c>
      <c r="F163" s="31"/>
      <c r="G163" s="64"/>
      <c r="H163" s="31" t="s">
        <v>73</v>
      </c>
      <c r="I163" s="28"/>
      <c r="J163" s="37">
        <f t="shared" si="15"/>
        <v>8</v>
      </c>
      <c r="M163" s="38">
        <f t="shared" si="16"/>
        <v>8</v>
      </c>
      <c r="O163" s="37">
        <f t="shared" si="17"/>
        <v>1150</v>
      </c>
      <c r="P163" s="37">
        <v>1219</v>
      </c>
      <c r="Q163" s="37">
        <f t="shared" si="18"/>
        <v>1219</v>
      </c>
      <c r="T163" s="37">
        <f t="shared" si="19"/>
        <v>9752</v>
      </c>
      <c r="U163" s="38">
        <f t="shared" si="20"/>
        <v>9752</v>
      </c>
      <c r="V163" s="23">
        <f t="shared" si="21"/>
        <v>9752</v>
      </c>
      <c r="W163" s="38" t="b">
        <f t="shared" si="22"/>
        <v>1</v>
      </c>
    </row>
    <row r="164" ht="27.199999999999999">
      <c r="A164" s="23" t="str">
        <f t="shared" si="14"/>
        <v xml:space="preserve">расходные материалыЭлектродыЭлектроды</v>
      </c>
      <c r="B164" s="28"/>
      <c r="C164" s="29"/>
      <c r="D164" s="40" t="s">
        <v>70</v>
      </c>
      <c r="E164" s="31" t="s">
        <v>75</v>
      </c>
      <c r="F164" s="31"/>
      <c r="G164" s="64"/>
      <c r="H164" s="31" t="s">
        <v>75</v>
      </c>
      <c r="I164" s="28"/>
      <c r="J164" s="37">
        <f t="shared" si="15"/>
        <v>260</v>
      </c>
      <c r="M164" s="38">
        <f t="shared" si="16"/>
        <v>260</v>
      </c>
      <c r="O164" s="37">
        <f t="shared" si="17"/>
        <v>347.56</v>
      </c>
      <c r="P164" s="37">
        <v>368.41000000000003</v>
      </c>
      <c r="Q164" s="37">
        <f t="shared" si="18"/>
        <v>368.41360000000003</v>
      </c>
      <c r="T164" s="37">
        <f t="shared" si="19"/>
        <v>95787.535999999993</v>
      </c>
      <c r="U164" s="38">
        <f t="shared" si="20"/>
        <v>95786.600000000006</v>
      </c>
      <c r="V164" s="23">
        <f t="shared" si="21"/>
        <v>95787.536000000007</v>
      </c>
      <c r="W164" s="38" t="b">
        <f t="shared" si="22"/>
        <v>1</v>
      </c>
    </row>
    <row r="165" ht="27.199999999999999">
      <c r="A165" s="23" t="str">
        <f t="shared" si="14"/>
        <v xml:space="preserve">расходные материалыпроволока сварочнаяпроволока сварочная</v>
      </c>
      <c r="B165" s="28"/>
      <c r="C165" s="29"/>
      <c r="D165" s="40" t="s">
        <v>70</v>
      </c>
      <c r="E165" s="41" t="s">
        <v>77</v>
      </c>
      <c r="F165" s="31"/>
      <c r="G165" s="64"/>
      <c r="H165" s="41" t="s">
        <v>77</v>
      </c>
      <c r="I165" s="28" t="s">
        <v>78</v>
      </c>
      <c r="J165" s="37">
        <f t="shared" si="15"/>
        <v>14</v>
      </c>
      <c r="M165" s="38">
        <f t="shared" si="16"/>
        <v>14</v>
      </c>
      <c r="O165" s="37">
        <f t="shared" si="17"/>
        <v>13481</v>
      </c>
      <c r="P165" s="37">
        <v>14289.860000000001</v>
      </c>
      <c r="Q165" s="37">
        <f t="shared" si="18"/>
        <v>14289.860000000001</v>
      </c>
      <c r="T165" s="37">
        <f t="shared" si="19"/>
        <v>200058.03999999998</v>
      </c>
      <c r="U165" s="38">
        <f t="shared" si="20"/>
        <v>200058.04000000001</v>
      </c>
      <c r="V165" s="23">
        <f t="shared" si="21"/>
        <v>200058.04000000001</v>
      </c>
      <c r="W165" s="38" t="b">
        <f t="shared" si="22"/>
        <v>1</v>
      </c>
    </row>
    <row r="166" ht="40.75">
      <c r="A166" s="23" t="str">
        <f t="shared" si="14"/>
        <v xml:space="preserve">расходные материалыкруг отрезной 230х2ммкруг отрезной 230х2мм</v>
      </c>
      <c r="B166" s="28"/>
      <c r="C166" s="29"/>
      <c r="D166" s="40" t="s">
        <v>70</v>
      </c>
      <c r="E166" s="31" t="s">
        <v>79</v>
      </c>
      <c r="F166" s="31"/>
      <c r="G166" s="64"/>
      <c r="H166" s="31" t="s">
        <v>79</v>
      </c>
      <c r="I166" s="28"/>
      <c r="J166" s="37">
        <f t="shared" si="15"/>
        <v>544</v>
      </c>
      <c r="M166" s="38">
        <f t="shared" si="16"/>
        <v>544</v>
      </c>
      <c r="O166" s="37">
        <f t="shared" si="17"/>
        <v>168</v>
      </c>
      <c r="P166" s="37">
        <v>178.08000000000001</v>
      </c>
      <c r="Q166" s="37">
        <f t="shared" si="18"/>
        <v>178.08000000000001</v>
      </c>
      <c r="T166" s="37">
        <f t="shared" si="19"/>
        <v>96875.520000000004</v>
      </c>
      <c r="U166" s="38">
        <f t="shared" si="20"/>
        <v>96875.520000000004</v>
      </c>
      <c r="V166" s="23">
        <f t="shared" si="21"/>
        <v>96875.520000000004</v>
      </c>
      <c r="W166" s="38" t="b">
        <f t="shared" si="22"/>
        <v>1</v>
      </c>
    </row>
    <row r="167" ht="27.199999999999999">
      <c r="A167" s="23" t="str">
        <f t="shared" si="14"/>
        <v xml:space="preserve">расходные материалыПесокПесок</v>
      </c>
      <c r="B167" s="28"/>
      <c r="C167" s="29"/>
      <c r="D167" s="40" t="s">
        <v>70</v>
      </c>
      <c r="E167" s="40" t="s">
        <v>80</v>
      </c>
      <c r="F167" s="31"/>
      <c r="G167" s="64"/>
      <c r="H167" s="40" t="s">
        <v>80</v>
      </c>
      <c r="I167" s="28"/>
      <c r="J167" s="37">
        <f t="shared" si="15"/>
        <v>185</v>
      </c>
      <c r="M167" s="38">
        <f t="shared" si="16"/>
        <v>185</v>
      </c>
      <c r="O167" s="37">
        <f t="shared" si="17"/>
        <v>190</v>
      </c>
      <c r="P167" s="37">
        <v>201.40000000000001</v>
      </c>
      <c r="Q167" s="37">
        <f t="shared" si="18"/>
        <v>201.40000000000001</v>
      </c>
      <c r="T167" s="37">
        <f t="shared" si="19"/>
        <v>37259</v>
      </c>
      <c r="U167" s="38">
        <f t="shared" si="20"/>
        <v>37259</v>
      </c>
      <c r="V167" s="23">
        <f t="shared" si="21"/>
        <v>37259</v>
      </c>
      <c r="W167" s="38" t="b">
        <f t="shared" si="22"/>
        <v>1</v>
      </c>
    </row>
    <row r="168" ht="27.199999999999999">
      <c r="A168" s="23" t="str">
        <f t="shared" si="14"/>
        <v xml:space="preserve">расходные материалыМастика резинобитумная  Мастика резинобитумная  </v>
      </c>
      <c r="B168" s="28"/>
      <c r="C168" s="29"/>
      <c r="D168" s="40" t="s">
        <v>70</v>
      </c>
      <c r="E168" s="42" t="s">
        <v>82</v>
      </c>
      <c r="F168" s="31"/>
      <c r="G168" s="64"/>
      <c r="H168" s="42" t="s">
        <v>82</v>
      </c>
      <c r="I168" s="28"/>
      <c r="J168" s="37">
        <f t="shared" si="15"/>
        <v>32</v>
      </c>
      <c r="M168" s="38">
        <f t="shared" si="16"/>
        <v>32</v>
      </c>
      <c r="O168" s="37">
        <f t="shared" si="17"/>
        <v>290</v>
      </c>
      <c r="P168" s="37">
        <v>307.40000000000003</v>
      </c>
      <c r="Q168" s="37">
        <f t="shared" si="18"/>
        <v>307.40000000000003</v>
      </c>
      <c r="T168" s="37">
        <f t="shared" si="19"/>
        <v>9836.8000000000011</v>
      </c>
      <c r="U168" s="38">
        <f t="shared" si="20"/>
        <v>9836.7999999999993</v>
      </c>
      <c r="V168" s="23">
        <f t="shared" si="21"/>
        <v>9836.8000000000011</v>
      </c>
      <c r="W168" s="38" t="b">
        <f t="shared" si="22"/>
        <v>1</v>
      </c>
    </row>
    <row r="169">
      <c r="O169" s="70" t="s">
        <v>100</v>
      </c>
      <c r="P169" s="70"/>
      <c r="Q169" s="71"/>
      <c r="T169" s="23">
        <f>SUBTOTAL(9,T112:T168)</f>
        <v>7832566.9460000005</v>
      </c>
      <c r="U169" s="23">
        <f>SUBTOTAL(9,U112:U168)</f>
        <v>7247690.2200000025</v>
      </c>
    </row>
    <row r="170" hidden="1">
      <c r="T170" s="23">
        <f>T169+4887576+99000+271857</f>
        <v>13090999.946</v>
      </c>
    </row>
    <row r="171">
      <c r="Q171" s="72" t="s">
        <v>101</v>
      </c>
      <c r="T171" s="73">
        <v>7832554.1827666694</v>
      </c>
      <c r="U171" s="66"/>
    </row>
    <row r="174">
      <c r="T174" s="38">
        <f>SUM(T112:T142)+SUM(T149:T161)</f>
        <v>6937034.8500000015</v>
      </c>
      <c r="U174" s="38">
        <f>SUM(U112:U142)+SUM(U149:U161)</f>
        <v>6415759.0600000024</v>
      </c>
    </row>
    <row r="177">
      <c r="T177" s="23">
        <v>7832566.9459999995</v>
      </c>
      <c r="U177" s="23">
        <v>6415759.0599999996</v>
      </c>
    </row>
    <row r="178">
      <c r="T178" s="23" t="b">
        <f>T169=T177</f>
        <v>1</v>
      </c>
    </row>
  </sheetData>
  <autoFilter ref="B3:U168"/>
  <mergeCells count="1">
    <mergeCell ref="O169:Q169"/>
  </mergeCells>
  <printOptions headings="0" gridLines="1"/>
  <pageMargins left="0.74803149606299213" right="0.74803149606299213" top="0.98425196850393704" bottom="0.98425196850393704" header="0.51181102362204722" footer="0.51181102362204722"/>
  <pageSetup paperSize="9" scale="100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0B050"/>
    <outlinePr applyStyles="0" summaryBelow="1" summaryRight="1" showOutlineSymbols="1"/>
    <pageSetUpPr autoPageBreaks="1" fitToPage="0"/>
  </sheetPr>
  <sheetViews>
    <sheetView zoomScale="100" workbookViewId="0">
      <selection activeCell="E7" activeCellId="0" sqref="E7"/>
    </sheetView>
  </sheetViews>
  <sheetFormatPr defaultRowHeight="12.75"/>
  <cols>
    <col bestFit="1" customWidth="1" min="1" max="1" style="74" width="43.625"/>
    <col bestFit="1" customWidth="1" min="2" max="2" width="22.625"/>
    <col bestFit="1" customWidth="1" min="3" max="3" width="16.75"/>
    <col bestFit="1" customWidth="1" min="4" max="4" width="15.75"/>
    <col bestFit="1" customWidth="1" min="5" max="5" width="23.875"/>
    <col bestFit="1" customWidth="1" min="6" max="6" width="16.75"/>
    <col bestFit="1" customWidth="1" min="7" max="7" width="27.125"/>
    <col bestFit="1" customWidth="1" min="8" max="8" width="7.25"/>
    <col bestFit="1" customWidth="1" min="9" max="9" width="20.25"/>
    <col bestFit="1" customWidth="1" min="10" max="10" width="20.375"/>
    <col bestFit="1" customWidth="1" min="11" max="11" width="17.875"/>
    <col bestFit="1" customWidth="1" min="12" max="12" width="11.75"/>
    <col bestFit="1" customWidth="1" min="13" max="13" width="27.375"/>
    <col bestFit="1" customWidth="1" min="14" max="14" width="31.125"/>
    <col bestFit="1" customWidth="1" min="15" max="15" width="27.375"/>
    <col bestFit="1" customWidth="1" min="16" max="16" width="11.625"/>
    <col bestFit="1" customWidth="1" min="17" max="17" width="27.375"/>
    <col bestFit="1" customWidth="1" min="18" max="18" width="11.625"/>
    <col bestFit="1" customWidth="1" min="19" max="19" width="27.375"/>
    <col bestFit="1" customWidth="1" min="20" max="20" width="4.875"/>
    <col bestFit="1" customWidth="1" min="21" max="21" width="32.125"/>
    <col bestFit="1" customWidth="1" min="22" max="22" width="35.875"/>
    <col bestFit="1" customWidth="1" min="23" max="24" width="5"/>
    <col bestFit="1" customWidth="1" min="25" max="25" width="12"/>
    <col bestFit="1" customWidth="1" min="26" max="27" width="10"/>
    <col bestFit="1" customWidth="1" min="28" max="28" width="6"/>
    <col bestFit="1" customWidth="1" min="29" max="29" width="8"/>
    <col bestFit="1" customWidth="1" min="30" max="30" width="9"/>
    <col bestFit="1" customWidth="1" min="31" max="31" width="6"/>
    <col bestFit="1" customWidth="1" min="32" max="32" width="12"/>
    <col bestFit="1" customWidth="1" min="33" max="34" width="6"/>
    <col bestFit="1" customWidth="1" min="35" max="37" width="12"/>
    <col bestFit="1" customWidth="1" min="38" max="38" width="10"/>
    <col bestFit="1" customWidth="1" min="39" max="40" width="12"/>
    <col bestFit="1" customWidth="1" min="41" max="41" width="6"/>
    <col bestFit="1" customWidth="1" min="42" max="42" width="9"/>
    <col bestFit="1" customWidth="1" min="43" max="44" width="6"/>
    <col bestFit="1" customWidth="1" min="45" max="45" width="9"/>
    <col bestFit="1" customWidth="1" min="46" max="48" width="12"/>
    <col bestFit="1" customWidth="1" min="49" max="50" width="6"/>
    <col bestFit="1" customWidth="1" min="51" max="56" width="12"/>
    <col bestFit="1" customWidth="1" min="57" max="57" width="6"/>
    <col bestFit="1" customWidth="1" min="58" max="58" width="8"/>
    <col bestFit="1" customWidth="1" min="59" max="59" width="10"/>
    <col bestFit="1" customWidth="1" min="60" max="61" width="12"/>
    <col bestFit="1" customWidth="1" min="62" max="63" width="8"/>
    <col bestFit="1" customWidth="1" min="64" max="65" width="6"/>
    <col bestFit="1" customWidth="1" min="66" max="66" width="12"/>
    <col bestFit="1" customWidth="1" min="67" max="67" width="9"/>
    <col bestFit="1" customWidth="1" min="68" max="69" width="12"/>
    <col bestFit="1" customWidth="1" min="70" max="72" width="6"/>
    <col bestFit="1" customWidth="1" min="73" max="74" width="12"/>
    <col bestFit="1" customWidth="1" min="75" max="75" width="6"/>
    <col bestFit="1" customWidth="1" min="76" max="76" width="8"/>
    <col bestFit="1" customWidth="1" min="77" max="77" width="12"/>
    <col bestFit="1" customWidth="1" min="78" max="79" width="7"/>
    <col bestFit="1" customWidth="1" min="80" max="80" width="12"/>
    <col bestFit="1" customWidth="1" min="81" max="81" width="9"/>
    <col bestFit="1" customWidth="1" min="82" max="84" width="12"/>
    <col bestFit="1" customWidth="1" min="85" max="85" width="8"/>
    <col bestFit="1" customWidth="1" min="86" max="86" width="12"/>
    <col bestFit="1" customWidth="1" min="87" max="87" width="7.25"/>
    <col bestFit="1" customWidth="1" min="88" max="88" width="11.75"/>
  </cols>
  <sheetData>
    <row r="3" s="74" customFormat="1">
      <c r="A3" s="75" t="s">
        <v>102</v>
      </c>
      <c r="B3" s="76" t="s">
        <v>103</v>
      </c>
      <c r="C3" s="77"/>
      <c r="D3" s="77"/>
      <c r="E3" s="77"/>
      <c r="F3" s="77"/>
      <c r="G3" s="77"/>
      <c r="H3" s="77"/>
      <c r="I3" s="77"/>
      <c r="J3" s="77"/>
      <c r="K3" s="77"/>
    </row>
    <row r="4">
      <c r="A4" s="78" t="s">
        <v>104</v>
      </c>
      <c r="B4" t="s">
        <v>58</v>
      </c>
      <c r="C4" t="s">
        <v>105</v>
      </c>
      <c r="D4" t="s">
        <v>106</v>
      </c>
      <c r="E4" t="s">
        <v>107</v>
      </c>
      <c r="F4" t="s">
        <v>46</v>
      </c>
      <c r="G4" t="s">
        <v>94</v>
      </c>
      <c r="H4" t="s">
        <v>108</v>
      </c>
      <c r="I4" t="s">
        <v>109</v>
      </c>
      <c r="J4" t="s">
        <v>110</v>
      </c>
      <c r="K4" t="s">
        <v>111</v>
      </c>
    </row>
    <row r="5">
      <c r="A5" s="79" t="s">
        <v>86</v>
      </c>
      <c r="B5" s="80">
        <v>98915.666666666672</v>
      </c>
      <c r="C5" s="80">
        <v>79146.666666666672</v>
      </c>
      <c r="D5" s="80"/>
      <c r="E5" s="80">
        <v>57369.108000000007</v>
      </c>
      <c r="F5" s="80"/>
      <c r="G5" s="80"/>
      <c r="H5" s="80"/>
      <c r="I5" s="80">
        <v>200171.28333333335</v>
      </c>
      <c r="J5" s="80">
        <v>98933.333333333343</v>
      </c>
      <c r="K5" s="80">
        <v>534536.05800000008</v>
      </c>
    </row>
    <row r="6">
      <c r="A6" s="79" t="s">
        <v>90</v>
      </c>
      <c r="B6" s="80">
        <v>94347.06666666668</v>
      </c>
      <c r="C6" s="80">
        <v>86566.666666666686</v>
      </c>
      <c r="D6" s="80">
        <v>8126.666666666667</v>
      </c>
      <c r="E6" s="80">
        <v>54784.616000000002</v>
      </c>
      <c r="F6" s="80">
        <v>5300</v>
      </c>
      <c r="G6" s="80">
        <v>5300</v>
      </c>
      <c r="H6" s="80"/>
      <c r="I6" s="80">
        <v>296008.53333333338</v>
      </c>
      <c r="J6" s="80">
        <v>148400</v>
      </c>
      <c r="K6" s="80">
        <v>698833.54933333339</v>
      </c>
    </row>
    <row r="7">
      <c r="A7" s="79" t="s">
        <v>84</v>
      </c>
      <c r="B7" s="80">
        <v>39181.133333333339</v>
      </c>
      <c r="C7" s="80">
        <v>50350.000000000007</v>
      </c>
      <c r="D7" s="80"/>
      <c r="E7" s="80">
        <v>84338.052000000011</v>
      </c>
      <c r="F7" s="80"/>
      <c r="G7" s="80"/>
      <c r="H7" s="80"/>
      <c r="I7" s="80">
        <v>1083320.0000000002</v>
      </c>
      <c r="J7" s="80"/>
      <c r="K7" s="80">
        <v>1257189.1853333337</v>
      </c>
    </row>
    <row r="8">
      <c r="A8" s="79" t="s">
        <v>32</v>
      </c>
      <c r="B8" s="80">
        <v>373535.16666666674</v>
      </c>
      <c r="C8" s="80">
        <v>745533.3333333336</v>
      </c>
      <c r="D8" s="80">
        <v>8480</v>
      </c>
      <c r="E8" s="80">
        <v>174802.26800000001</v>
      </c>
      <c r="F8" s="80">
        <v>353333.33333333337</v>
      </c>
      <c r="G8" s="80"/>
      <c r="H8" s="80"/>
      <c r="I8" s="80">
        <v>3251428.1000000001</v>
      </c>
      <c r="J8" s="80">
        <v>192566.66666666666</v>
      </c>
      <c r="K8" s="80">
        <v>5099678.8680000007</v>
      </c>
    </row>
    <row r="9">
      <c r="A9" s="79" t="s">
        <v>108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>
      <c r="A10" s="79" t="s">
        <v>112</v>
      </c>
      <c r="B10" s="80">
        <v>13318.9</v>
      </c>
      <c r="C10" s="80">
        <v>16253.333333333334</v>
      </c>
      <c r="D10" s="80"/>
      <c r="E10" s="80">
        <v>84338.052000000011</v>
      </c>
      <c r="F10" s="80"/>
      <c r="G10" s="80"/>
      <c r="H10" s="80"/>
      <c r="I10" s="80">
        <v>128419.00000000003</v>
      </c>
      <c r="J10" s="80"/>
      <c r="K10" s="80">
        <v>242329.28533333336</v>
      </c>
    </row>
    <row r="11">
      <c r="A11" s="81" t="s">
        <v>111</v>
      </c>
      <c r="B11" s="80">
        <v>619297.93333333347</v>
      </c>
      <c r="C11" s="80">
        <v>977850.00000000035</v>
      </c>
      <c r="D11" s="80">
        <v>16606.666666666668</v>
      </c>
      <c r="E11" s="80">
        <v>455632.09600000002</v>
      </c>
      <c r="F11" s="80">
        <v>358633.33333333337</v>
      </c>
      <c r="G11" s="80">
        <v>5300</v>
      </c>
      <c r="H11" s="80"/>
      <c r="I11" s="80">
        <v>4959346.916666667</v>
      </c>
      <c r="J11" s="80">
        <v>439900</v>
      </c>
      <c r="K11" s="80">
        <v>7832566.9460000014</v>
      </c>
    </row>
    <row r="33" ht="18" customHeight="1"/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9" tint="0.79998168889431442"/>
    <outlinePr applyStyles="0" summaryBelow="1" summaryRight="1" showOutlineSymbols="1"/>
    <pageSetUpPr autoPageBreaks="1" fitToPage="0"/>
  </sheetPr>
  <sheetViews>
    <sheetView topLeftCell="B1" zoomScale="85" workbookViewId="0">
      <selection activeCell="E21" activeCellId="0" sqref="E21"/>
    </sheetView>
  </sheetViews>
  <sheetFormatPr defaultColWidth="9.125" defaultRowHeight="12.75"/>
  <cols>
    <col customWidth="1" min="1" max="1" style="25" width="13.125"/>
    <col customWidth="1" min="2" max="2" style="24" width="57"/>
    <col customWidth="1" min="3" max="3" style="82" width="59.25"/>
    <col bestFit="1" customWidth="1" min="4" max="4" style="83" width="22.125"/>
    <col customWidth="1" min="5" max="5" style="83" width="26"/>
    <col bestFit="1" customWidth="1" min="6" max="6" style="83" width="11.125"/>
    <col bestFit="1" customWidth="1" min="7" max="7" style="84" width="15.375"/>
    <col bestFit="1" customWidth="1" min="8" max="8" style="84" width="16.625"/>
    <col customWidth="1" min="9" max="9" style="84" width="16.25"/>
    <col customWidth="1" hidden="1" min="10" max="10" style="25" width="27.125"/>
    <col customWidth="1" hidden="1" min="11" max="11" style="25" width="0"/>
    <col min="12" max="12" style="25" width="9.125"/>
    <col bestFit="1" customWidth="1" min="13" max="13" style="25" width="10.25"/>
    <col min="14" max="15" style="25" width="9.125"/>
    <col bestFit="1" customWidth="1" min="16" max="16" style="25" width="10.25"/>
    <col min="17" max="16384" style="25" width="9.125"/>
  </cols>
  <sheetData>
    <row r="1" ht="36">
      <c r="A1" s="85" t="s">
        <v>18</v>
      </c>
      <c r="B1" s="85" t="s">
        <v>19</v>
      </c>
      <c r="C1" s="85" t="s">
        <v>113</v>
      </c>
      <c r="D1" s="85" t="s">
        <v>20</v>
      </c>
      <c r="E1" s="85" t="s">
        <v>21</v>
      </c>
      <c r="F1" s="85" t="s">
        <v>24</v>
      </c>
      <c r="G1" s="86" t="s">
        <v>114</v>
      </c>
      <c r="H1" s="86" t="s">
        <v>115</v>
      </c>
      <c r="I1" s="86" t="s">
        <v>116</v>
      </c>
      <c r="J1" s="87" t="s">
        <v>23</v>
      </c>
      <c r="K1" s="88" t="s">
        <v>117</v>
      </c>
    </row>
    <row r="2" hidden="1">
      <c r="A2" s="89">
        <v>2026</v>
      </c>
      <c r="B2" s="90" t="s">
        <v>118</v>
      </c>
      <c r="C2" s="91" t="s">
        <v>119</v>
      </c>
      <c r="D2" s="92" t="s">
        <v>120</v>
      </c>
      <c r="E2" s="93">
        <v>159</v>
      </c>
      <c r="F2" s="93" t="s">
        <v>35</v>
      </c>
      <c r="G2" s="94">
        <v>96</v>
      </c>
      <c r="H2" s="95">
        <f>VLOOKUP(C2,'СВОД на 2026г'!$B$2:$F$92,3,FALSE)</f>
        <v>3120.5361688956</v>
      </c>
      <c r="I2" s="95">
        <f t="shared" ref="I2:I27" si="23">G2*H2</f>
        <v>299571.4722139776</v>
      </c>
      <c r="J2" s="89"/>
      <c r="K2" s="88"/>
    </row>
    <row r="3" hidden="1">
      <c r="A3" s="89">
        <v>2026</v>
      </c>
      <c r="B3" s="90" t="s">
        <v>118</v>
      </c>
      <c r="C3" s="91" t="s">
        <v>121</v>
      </c>
      <c r="D3" s="92" t="s">
        <v>120</v>
      </c>
      <c r="E3" s="93">
        <v>133</v>
      </c>
      <c r="F3" s="93" t="s">
        <v>35</v>
      </c>
      <c r="G3" s="94">
        <v>138</v>
      </c>
      <c r="H3" s="95">
        <f>VLOOKUP(C3,'СВОД на 2026г'!$B$2:$F$92,3,FALSE)</f>
        <v>2470.1392989000001</v>
      </c>
      <c r="I3" s="95">
        <f t="shared" si="23"/>
        <v>340879.22324820003</v>
      </c>
      <c r="J3" s="89"/>
      <c r="K3" s="88"/>
    </row>
    <row r="4" hidden="1">
      <c r="A4" s="89">
        <v>2026</v>
      </c>
      <c r="B4" s="90" t="s">
        <v>118</v>
      </c>
      <c r="C4" s="91" t="s">
        <v>122</v>
      </c>
      <c r="D4" s="92" t="s">
        <v>120</v>
      </c>
      <c r="E4" s="93">
        <v>108</v>
      </c>
      <c r="F4" s="93" t="s">
        <v>35</v>
      </c>
      <c r="G4" s="94">
        <v>56</v>
      </c>
      <c r="H4" s="95">
        <f>VLOOKUP(C4,'СВОД на 2026г'!$B$2:$F$92,3,FALSE)</f>
        <v>2574.4515020000003</v>
      </c>
      <c r="I4" s="95">
        <f t="shared" si="23"/>
        <v>144169.28411200002</v>
      </c>
      <c r="J4" s="89"/>
      <c r="K4" s="88"/>
    </row>
    <row r="5" hidden="1">
      <c r="A5" s="89">
        <v>2026</v>
      </c>
      <c r="B5" s="90" t="s">
        <v>118</v>
      </c>
      <c r="C5" s="91" t="s">
        <v>123</v>
      </c>
      <c r="D5" s="92" t="s">
        <v>36</v>
      </c>
      <c r="E5" s="93">
        <v>159</v>
      </c>
      <c r="F5" s="93" t="s">
        <v>39</v>
      </c>
      <c r="G5" s="94">
        <v>4</v>
      </c>
      <c r="H5" s="95">
        <f>VLOOKUP(C5,'СВОД на 2026г'!$B$2:$F$92,3,FALSE)</f>
        <v>10706.394999999999</v>
      </c>
      <c r="I5" s="95">
        <f t="shared" si="23"/>
        <v>42825.579999999994</v>
      </c>
      <c r="J5" s="89"/>
      <c r="K5" s="88"/>
    </row>
    <row r="6" hidden="1">
      <c r="A6" s="89">
        <v>2026</v>
      </c>
      <c r="B6" s="90" t="s">
        <v>118</v>
      </c>
      <c r="C6" s="91" t="s">
        <v>124</v>
      </c>
      <c r="D6" s="92" t="s">
        <v>36</v>
      </c>
      <c r="E6" s="93">
        <v>159</v>
      </c>
      <c r="F6" s="93" t="s">
        <v>39</v>
      </c>
      <c r="G6" s="94">
        <v>2</v>
      </c>
      <c r="H6" s="95">
        <f>VLOOKUP(C6,'СВОД на 2026г'!$B$2:$F$92,3,FALSE)</f>
        <v>1449.1268166666666</v>
      </c>
      <c r="I6" s="95">
        <f t="shared" si="23"/>
        <v>2898.2536333333333</v>
      </c>
      <c r="J6" s="89"/>
      <c r="K6" s="88"/>
    </row>
    <row r="7" hidden="1">
      <c r="A7" s="89">
        <v>2026</v>
      </c>
      <c r="B7" s="90" t="s">
        <v>118</v>
      </c>
      <c r="C7" s="91" t="s">
        <v>125</v>
      </c>
      <c r="D7" s="92" t="s">
        <v>36</v>
      </c>
      <c r="E7" s="93">
        <v>133</v>
      </c>
      <c r="F7" s="93" t="s">
        <v>39</v>
      </c>
      <c r="G7" s="94">
        <v>4</v>
      </c>
      <c r="H7" s="95">
        <f>VLOOKUP(C7,'СВОД на 2026г'!$B$2:$F$92,3,FALSE)</f>
        <v>10624.440232000001</v>
      </c>
      <c r="I7" s="95">
        <f t="shared" si="23"/>
        <v>42497.760928000003</v>
      </c>
      <c r="J7" s="89"/>
      <c r="K7" s="88"/>
    </row>
    <row r="8" hidden="1">
      <c r="A8" s="89">
        <v>2026</v>
      </c>
      <c r="B8" s="90" t="s">
        <v>118</v>
      </c>
      <c r="C8" s="91" t="s">
        <v>126</v>
      </c>
      <c r="D8" s="92" t="s">
        <v>36</v>
      </c>
      <c r="E8" s="93">
        <v>108</v>
      </c>
      <c r="F8" s="93" t="s">
        <v>39</v>
      </c>
      <c r="G8" s="94">
        <v>2</v>
      </c>
      <c r="H8" s="95">
        <f>VLOOKUP(C8,'СВОД на 2026г'!$B$2:$F$92,3,FALSE)</f>
        <v>8898.5756159999983</v>
      </c>
      <c r="I8" s="95">
        <f t="shared" si="23"/>
        <v>17797.151231999997</v>
      </c>
      <c r="J8" s="89"/>
      <c r="K8" s="88"/>
    </row>
    <row r="9" hidden="1">
      <c r="A9" s="89">
        <v>2026</v>
      </c>
      <c r="B9" s="90" t="s">
        <v>118</v>
      </c>
      <c r="C9" s="91" t="s">
        <v>127</v>
      </c>
      <c r="D9" s="92" t="s">
        <v>36</v>
      </c>
      <c r="E9" s="93">
        <v>108</v>
      </c>
      <c r="F9" s="93" t="s">
        <v>39</v>
      </c>
      <c r="G9" s="94">
        <v>2</v>
      </c>
      <c r="H9" s="95">
        <f>VLOOKUP(C9,'СВОД на 2026г'!$B$2:$F$92,3,FALSE)</f>
        <v>678.56710833333329</v>
      </c>
      <c r="I9" s="95">
        <f t="shared" si="23"/>
        <v>1357.1342166666666</v>
      </c>
      <c r="J9" s="89"/>
      <c r="K9" s="88"/>
    </row>
    <row r="10" hidden="1">
      <c r="A10" s="89">
        <v>2026</v>
      </c>
      <c r="B10" s="90" t="s">
        <v>118</v>
      </c>
      <c r="C10" s="91" t="s">
        <v>128</v>
      </c>
      <c r="D10" s="92" t="s">
        <v>129</v>
      </c>
      <c r="E10" s="93" t="s">
        <v>130</v>
      </c>
      <c r="F10" s="93" t="s">
        <v>39</v>
      </c>
      <c r="G10" s="94">
        <v>2</v>
      </c>
      <c r="H10" s="95">
        <f>VLOOKUP(C10,'СВОД на 2026г'!$B$2:$F$92,3,FALSE)</f>
        <v>6708.5759999999991</v>
      </c>
      <c r="I10" s="95">
        <f t="shared" si="23"/>
        <v>13417.151999999998</v>
      </c>
      <c r="J10" s="89"/>
      <c r="K10" s="88"/>
    </row>
    <row r="11" hidden="1">
      <c r="A11" s="89">
        <v>2026</v>
      </c>
      <c r="B11" s="90" t="s">
        <v>118</v>
      </c>
      <c r="C11" s="91" t="s">
        <v>131</v>
      </c>
      <c r="D11" s="92" t="s">
        <v>129</v>
      </c>
      <c r="E11" s="93" t="s">
        <v>132</v>
      </c>
      <c r="F11" s="93" t="s">
        <v>39</v>
      </c>
      <c r="G11" s="94">
        <v>2</v>
      </c>
      <c r="H11" s="95">
        <f>VLOOKUP(C11,'СВОД на 2026г'!$B$2:$F$92,3,FALSE)</f>
        <v>5023.0879999999997</v>
      </c>
      <c r="I11" s="95">
        <f t="shared" si="23"/>
        <v>10046.175999999999</v>
      </c>
      <c r="J11" s="89"/>
      <c r="K11" s="88"/>
    </row>
    <row r="12" hidden="1">
      <c r="A12" s="89">
        <v>2026</v>
      </c>
      <c r="B12" s="90" t="s">
        <v>118</v>
      </c>
      <c r="C12" s="96" t="s">
        <v>133</v>
      </c>
      <c r="D12" s="97" t="s">
        <v>110</v>
      </c>
      <c r="E12" s="93">
        <v>150</v>
      </c>
      <c r="F12" s="93" t="s">
        <v>39</v>
      </c>
      <c r="G12" s="94">
        <v>2</v>
      </c>
      <c r="H12" s="95">
        <f>VLOOKUP(C12,'СВОД на 2026г'!$B$2:$F$92,3,FALSE)</f>
        <v>9101.0441666666666</v>
      </c>
      <c r="I12" s="95">
        <f t="shared" si="23"/>
        <v>18202.088333333333</v>
      </c>
      <c r="J12" s="89"/>
      <c r="K12" s="88"/>
    </row>
    <row r="13" hidden="1">
      <c r="A13" s="89">
        <v>2026</v>
      </c>
      <c r="B13" s="90" t="s">
        <v>118</v>
      </c>
      <c r="C13" s="96" t="s">
        <v>134</v>
      </c>
      <c r="D13" s="97" t="s">
        <v>110</v>
      </c>
      <c r="E13" s="93">
        <v>125</v>
      </c>
      <c r="F13" s="93" t="s">
        <v>39</v>
      </c>
      <c r="G13" s="94">
        <v>2</v>
      </c>
      <c r="H13" s="95">
        <f>VLOOKUP(C13,'СВОД на 2026г'!$B$2:$F$92,3,FALSE)</f>
        <v>7867.6966666666667</v>
      </c>
      <c r="I13" s="95">
        <f>G13*H13</f>
        <v>15735.393333333333</v>
      </c>
      <c r="J13" s="89"/>
      <c r="K13" s="88"/>
    </row>
    <row r="14" hidden="1">
      <c r="A14" s="89">
        <v>2026</v>
      </c>
      <c r="B14" s="90" t="s">
        <v>118</v>
      </c>
      <c r="C14" s="96" t="s">
        <v>135</v>
      </c>
      <c r="D14" s="97" t="s">
        <v>110</v>
      </c>
      <c r="E14" s="93">
        <v>100</v>
      </c>
      <c r="F14" s="93" t="s">
        <v>39</v>
      </c>
      <c r="G14" s="94">
        <v>2</v>
      </c>
      <c r="H14" s="95">
        <f>VLOOKUP(C14,'СВОД на 2026г'!$B$2:$F$92,3,FALSE)</f>
        <v>14069.548499999999</v>
      </c>
      <c r="I14" s="95">
        <f t="shared" si="23"/>
        <v>28139.096999999998</v>
      </c>
      <c r="J14" s="89"/>
      <c r="K14" s="88"/>
    </row>
    <row r="15" hidden="1">
      <c r="A15" s="89">
        <v>2026</v>
      </c>
      <c r="B15" s="90" t="s">
        <v>118</v>
      </c>
      <c r="C15" s="98" t="s">
        <v>136</v>
      </c>
      <c r="D15" s="92" t="s">
        <v>107</v>
      </c>
      <c r="E15" s="99" t="s">
        <v>137</v>
      </c>
      <c r="F15" s="93" t="s">
        <v>138</v>
      </c>
      <c r="G15" s="94">
        <v>5</v>
      </c>
      <c r="H15" s="95">
        <f>VLOOKUP(C15,'СВОД на 2026г'!$B$2:$F$92,3,FALSE)</f>
        <v>1121.1499040000001</v>
      </c>
      <c r="I15" s="95">
        <f t="shared" si="23"/>
        <v>5605.7495200000003</v>
      </c>
      <c r="J15" s="89"/>
      <c r="K15" s="88"/>
    </row>
    <row r="16" hidden="1">
      <c r="A16" s="89">
        <v>2026</v>
      </c>
      <c r="B16" s="90" t="s">
        <v>118</v>
      </c>
      <c r="C16" s="98" t="s">
        <v>139</v>
      </c>
      <c r="D16" s="92" t="s">
        <v>107</v>
      </c>
      <c r="E16" s="99" t="s">
        <v>140</v>
      </c>
      <c r="F16" s="93" t="s">
        <v>141</v>
      </c>
      <c r="G16" s="94">
        <v>1</v>
      </c>
      <c r="H16" s="95">
        <f>VLOOKUP(C16,'СВОД на 2026г'!$B$2:$F$92,3,FALSE)</f>
        <v>2990.4687400000003</v>
      </c>
      <c r="I16" s="95">
        <f t="shared" si="23"/>
        <v>2990.4687400000003</v>
      </c>
      <c r="J16" s="89"/>
      <c r="K16" s="88"/>
    </row>
    <row r="17" hidden="1">
      <c r="A17" s="89">
        <v>2026</v>
      </c>
      <c r="B17" s="90" t="s">
        <v>118</v>
      </c>
      <c r="C17" s="96" t="s">
        <v>142</v>
      </c>
      <c r="D17" s="92" t="s">
        <v>107</v>
      </c>
      <c r="E17" s="99" t="s">
        <v>75</v>
      </c>
      <c r="F17" s="93" t="s">
        <v>76</v>
      </c>
      <c r="G17" s="94">
        <v>75</v>
      </c>
      <c r="H17" s="95">
        <f>VLOOKUP(C17,'СВОД на 2026г'!$B$2:$F$92,3,FALSE)</f>
        <v>349.44344498000004</v>
      </c>
      <c r="I17" s="95">
        <f t="shared" si="23"/>
        <v>26208.258373500004</v>
      </c>
      <c r="J17" s="89"/>
      <c r="K17" s="88"/>
    </row>
    <row r="18" hidden="1">
      <c r="A18" s="89">
        <v>2026</v>
      </c>
      <c r="B18" s="90" t="s">
        <v>118</v>
      </c>
      <c r="C18" s="96" t="s">
        <v>143</v>
      </c>
      <c r="D18" s="92" t="s">
        <v>107</v>
      </c>
      <c r="E18" s="99" t="s">
        <v>75</v>
      </c>
      <c r="F18" s="93" t="s">
        <v>76</v>
      </c>
      <c r="G18" s="94">
        <v>65</v>
      </c>
      <c r="H18" s="95">
        <f>VLOOKUP(C18,'СВОД на 2026г'!$B$2:$F$92,3,FALSE)</f>
        <v>350.35934500000002</v>
      </c>
      <c r="I18" s="95">
        <f t="shared" si="23"/>
        <v>22773.357425000002</v>
      </c>
      <c r="J18" s="89"/>
      <c r="K18" s="88"/>
    </row>
    <row r="19" hidden="1">
      <c r="A19" s="89">
        <v>2026</v>
      </c>
      <c r="B19" s="90" t="s">
        <v>118</v>
      </c>
      <c r="C19" s="96" t="s">
        <v>144</v>
      </c>
      <c r="D19" s="92" t="s">
        <v>107</v>
      </c>
      <c r="E19" s="93" t="s">
        <v>145</v>
      </c>
      <c r="F19" s="93" t="s">
        <v>39</v>
      </c>
      <c r="G19" s="94">
        <v>120</v>
      </c>
      <c r="H19" s="95">
        <f>VLOOKUP(C19,'СВОД на 2026г'!$B$2:$F$92,3,FALSE)</f>
        <v>32.17788504</v>
      </c>
      <c r="I19" s="95">
        <f t="shared" si="23"/>
        <v>3861.3462048000001</v>
      </c>
      <c r="J19" s="89"/>
      <c r="K19" s="88"/>
    </row>
    <row r="20" hidden="1">
      <c r="A20" s="89">
        <v>2026</v>
      </c>
      <c r="B20" s="90" t="s">
        <v>118</v>
      </c>
      <c r="C20" s="98" t="s">
        <v>146</v>
      </c>
      <c r="D20" s="92" t="s">
        <v>107</v>
      </c>
      <c r="E20" s="93" t="s">
        <v>147</v>
      </c>
      <c r="F20" s="93" t="s">
        <v>39</v>
      </c>
      <c r="G20" s="94">
        <v>30</v>
      </c>
      <c r="H20" s="95">
        <f>VLOOKUP(C20,'СВОД на 2026г'!$B$2:$F$92,3,FALSE)</f>
        <v>105.75886496000001</v>
      </c>
      <c r="I20" s="95">
        <f t="shared" si="23"/>
        <v>3172.7659488000004</v>
      </c>
      <c r="J20" s="89"/>
      <c r="K20" s="88"/>
    </row>
    <row r="21" hidden="1">
      <c r="A21" s="89">
        <v>2026</v>
      </c>
      <c r="B21" s="90" t="s">
        <v>118</v>
      </c>
      <c r="C21" s="96" t="s">
        <v>148</v>
      </c>
      <c r="D21" s="92" t="s">
        <v>107</v>
      </c>
      <c r="E21" s="93" t="s">
        <v>149</v>
      </c>
      <c r="F21" s="93" t="s">
        <v>39</v>
      </c>
      <c r="G21" s="94">
        <v>8</v>
      </c>
      <c r="H21" s="95">
        <f>VLOOKUP(C21,'СВОД на 2026г'!$B$2:$F$92,3,FALSE)</f>
        <v>62.579999999999998</v>
      </c>
      <c r="I21" s="95">
        <f t="shared" si="23"/>
        <v>500.63999999999999</v>
      </c>
      <c r="J21" s="89"/>
      <c r="K21" s="88"/>
    </row>
    <row r="22" hidden="1">
      <c r="A22" s="89">
        <v>2026</v>
      </c>
      <c r="B22" s="90" t="s">
        <v>118</v>
      </c>
      <c r="C22" s="91" t="s">
        <v>150</v>
      </c>
      <c r="D22" s="92" t="s">
        <v>151</v>
      </c>
      <c r="E22" s="93">
        <v>159</v>
      </c>
      <c r="F22" s="93" t="s">
        <v>39</v>
      </c>
      <c r="G22" s="94">
        <v>20</v>
      </c>
      <c r="H22" s="95">
        <f>VLOOKUP(C22,'СВОД на 2026г'!$B$2:$F$92,3,FALSE)</f>
        <v>1283.7591666666667</v>
      </c>
      <c r="I22" s="95">
        <f t="shared" si="23"/>
        <v>25675.183333333334</v>
      </c>
      <c r="J22" s="89"/>
      <c r="K22" s="88">
        <v>1175</v>
      </c>
    </row>
    <row r="23" hidden="1">
      <c r="A23" s="89">
        <v>2026</v>
      </c>
      <c r="B23" s="90" t="s">
        <v>118</v>
      </c>
      <c r="C23" s="91" t="s">
        <v>152</v>
      </c>
      <c r="D23" s="92" t="s">
        <v>151</v>
      </c>
      <c r="E23" s="93">
        <v>133</v>
      </c>
      <c r="F23" s="93" t="s">
        <v>39</v>
      </c>
      <c r="G23" s="94">
        <v>20</v>
      </c>
      <c r="H23" s="95">
        <f>VLOOKUP(C23,'СВОД на 2026г'!$B$2:$F$92,3,FALSE)</f>
        <v>1095.1499999999999</v>
      </c>
      <c r="I23" s="95">
        <f t="shared" si="23"/>
        <v>21902.999999999996</v>
      </c>
      <c r="J23" s="89"/>
      <c r="K23" s="88"/>
    </row>
    <row r="24" hidden="1">
      <c r="A24" s="89">
        <v>2026</v>
      </c>
      <c r="B24" s="90" t="s">
        <v>118</v>
      </c>
      <c r="C24" s="91" t="s">
        <v>153</v>
      </c>
      <c r="D24" s="92" t="s">
        <v>151</v>
      </c>
      <c r="E24" s="93">
        <v>108</v>
      </c>
      <c r="F24" s="93" t="s">
        <v>39</v>
      </c>
      <c r="G24" s="94">
        <v>12</v>
      </c>
      <c r="H24" s="95">
        <f>VLOOKUP(C24,'СВОД на 2026г'!$B$2:$F$92,3,FALSE)</f>
        <v>822.23166666666668</v>
      </c>
      <c r="I24" s="95">
        <f t="shared" si="23"/>
        <v>9866.7800000000007</v>
      </c>
      <c r="J24" s="89"/>
      <c r="K24" s="88">
        <v>1446</v>
      </c>
    </row>
    <row r="25" ht="36" hidden="1">
      <c r="A25" s="89">
        <v>2026</v>
      </c>
      <c r="B25" s="90" t="s">
        <v>118</v>
      </c>
      <c r="C25" s="96" t="s">
        <v>154</v>
      </c>
      <c r="D25" s="92" t="s">
        <v>154</v>
      </c>
      <c r="E25" s="92" t="s">
        <v>154</v>
      </c>
      <c r="F25" s="93" t="s">
        <v>39</v>
      </c>
      <c r="G25" s="94">
        <v>1</v>
      </c>
      <c r="H25" s="95">
        <f>VLOOKUP(C25,'СВОД на 2026г'!$B$2:$F$92,3,FALSE)</f>
        <v>55174.699999999997</v>
      </c>
      <c r="I25" s="95">
        <f t="shared" si="23"/>
        <v>55174.699999999997</v>
      </c>
      <c r="J25" s="89"/>
      <c r="K25" s="88"/>
    </row>
    <row r="26" ht="24" hidden="1">
      <c r="A26" s="89">
        <v>2026</v>
      </c>
      <c r="B26" s="90" t="s">
        <v>118</v>
      </c>
      <c r="C26" s="100" t="s">
        <v>155</v>
      </c>
      <c r="D26" s="92" t="s">
        <v>155</v>
      </c>
      <c r="E26" s="92" t="s">
        <v>155</v>
      </c>
      <c r="F26" s="93" t="s">
        <v>156</v>
      </c>
      <c r="G26" s="94">
        <v>16</v>
      </c>
      <c r="H26" s="95">
        <f>VLOOKUP(C26,'СВОД на 2026г'!$B$2:$F$92,3,FALSE)</f>
        <v>2628.2046254200395</v>
      </c>
      <c r="I26" s="95">
        <f>G26*H26</f>
        <v>42051.274006720632</v>
      </c>
      <c r="J26" s="89"/>
      <c r="K26" s="88"/>
    </row>
    <row r="27" hidden="1">
      <c r="A27" s="89">
        <v>2026</v>
      </c>
      <c r="B27" s="90" t="s">
        <v>118</v>
      </c>
      <c r="C27" s="101" t="s">
        <v>157</v>
      </c>
      <c r="D27" s="92" t="s">
        <v>157</v>
      </c>
      <c r="E27" s="93" t="s">
        <v>158</v>
      </c>
      <c r="F27" s="93" t="s">
        <v>39</v>
      </c>
      <c r="G27" s="94">
        <v>1</v>
      </c>
      <c r="H27" s="95">
        <f>VLOOKUP(C27,'СВОД на 2026г'!$B$2:$F$92,3,FALSE)</f>
        <v>392793.79999999999</v>
      </c>
      <c r="I27" s="95">
        <f t="shared" si="23"/>
        <v>392793.79999999999</v>
      </c>
      <c r="J27" s="89"/>
      <c r="K27" s="88"/>
    </row>
    <row r="28">
      <c r="A28" s="89">
        <v>2026</v>
      </c>
      <c r="B28" s="90" t="s">
        <v>159</v>
      </c>
      <c r="C28" s="91" t="s">
        <v>160</v>
      </c>
      <c r="D28" s="92" t="s">
        <v>120</v>
      </c>
      <c r="E28" s="93">
        <v>159</v>
      </c>
      <c r="F28" s="93" t="s">
        <v>35</v>
      </c>
      <c r="G28" s="94">
        <v>110</v>
      </c>
      <c r="H28" s="95">
        <f>VLOOKUP(C28,'СВОД на 2026г'!$B$2:$F$92,3,FALSE)</f>
        <v>3120.5361688956</v>
      </c>
      <c r="I28" s="95">
        <f t="shared" ref="I28:I91" si="24">G28*H28</f>
        <v>343258.97857851599</v>
      </c>
      <c r="J28" s="89"/>
      <c r="K28" s="88">
        <v>2082.5</v>
      </c>
    </row>
    <row r="29">
      <c r="A29" s="89">
        <v>2026</v>
      </c>
      <c r="B29" s="90" t="s">
        <v>159</v>
      </c>
      <c r="C29" s="91" t="s">
        <v>161</v>
      </c>
      <c r="D29" s="92" t="s">
        <v>120</v>
      </c>
      <c r="E29" s="93">
        <v>76</v>
      </c>
      <c r="F29" s="93" t="s">
        <v>35</v>
      </c>
      <c r="G29" s="94">
        <v>122</v>
      </c>
      <c r="H29" s="95">
        <f>VLOOKUP(C29,'СВОД на 2026г'!$B$2:$F$92,3,FALSE)</f>
        <v>2044.7743820000001</v>
      </c>
      <c r="I29" s="95">
        <f t="shared" si="24"/>
        <v>249462.47460400002</v>
      </c>
      <c r="J29" s="89"/>
      <c r="K29" s="88"/>
    </row>
    <row r="30">
      <c r="A30" s="89">
        <v>2026</v>
      </c>
      <c r="B30" s="90" t="s">
        <v>159</v>
      </c>
      <c r="C30" s="91" t="s">
        <v>162</v>
      </c>
      <c r="D30" s="92" t="s">
        <v>120</v>
      </c>
      <c r="E30" s="93">
        <v>76</v>
      </c>
      <c r="F30" s="93" t="s">
        <v>35</v>
      </c>
      <c r="G30" s="94">
        <v>110</v>
      </c>
      <c r="H30" s="95">
        <f>VLOOKUP(C30,'СВОД на 2026г'!$B$2:$F$92,3,FALSE)</f>
        <v>2044.7743820000001</v>
      </c>
      <c r="I30" s="95">
        <f t="shared" si="24"/>
        <v>224925.18202000001</v>
      </c>
      <c r="J30" s="89"/>
      <c r="K30" s="88"/>
    </row>
    <row r="31">
      <c r="A31" s="89">
        <v>2026</v>
      </c>
      <c r="B31" s="90" t="s">
        <v>159</v>
      </c>
      <c r="C31" s="91" t="s">
        <v>163</v>
      </c>
      <c r="D31" s="92" t="s">
        <v>120</v>
      </c>
      <c r="E31" s="93">
        <v>57</v>
      </c>
      <c r="F31" s="93" t="s">
        <v>35</v>
      </c>
      <c r="G31" s="94">
        <v>12</v>
      </c>
      <c r="H31" s="95">
        <f>VLOOKUP(C31,'СВОД на 2026г'!$B$2:$F$92,3,FALSE)</f>
        <v>1939.942452</v>
      </c>
      <c r="I31" s="95">
        <f t="shared" si="24"/>
        <v>23279.309423999999</v>
      </c>
      <c r="J31" s="89"/>
      <c r="K31" s="88">
        <v>1655</v>
      </c>
    </row>
    <row r="32">
      <c r="A32" s="89">
        <v>2026</v>
      </c>
      <c r="B32" s="90" t="s">
        <v>159</v>
      </c>
      <c r="C32" s="91" t="s">
        <v>164</v>
      </c>
      <c r="D32" s="92" t="s">
        <v>120</v>
      </c>
      <c r="E32" s="93">
        <v>57</v>
      </c>
      <c r="F32" s="93" t="s">
        <v>35</v>
      </c>
      <c r="G32" s="94">
        <v>162</v>
      </c>
      <c r="H32" s="95">
        <f>VLOOKUP(C32,'СВОД на 2026г'!$B$2:$F$92,3,FALSE)</f>
        <v>1826.2825699999999</v>
      </c>
      <c r="I32" s="95">
        <f t="shared" si="24"/>
        <v>295857.77633999998</v>
      </c>
      <c r="J32" s="89"/>
      <c r="K32" s="88">
        <v>1655</v>
      </c>
    </row>
    <row r="33" ht="13.5">
      <c r="A33" s="89">
        <v>2026</v>
      </c>
      <c r="B33" s="90" t="s">
        <v>159</v>
      </c>
      <c r="C33" s="91" t="s">
        <v>165</v>
      </c>
      <c r="D33" s="92" t="s">
        <v>120</v>
      </c>
      <c r="E33" s="93">
        <v>32</v>
      </c>
      <c r="F33" s="93" t="s">
        <v>35</v>
      </c>
      <c r="G33" s="94">
        <v>10</v>
      </c>
      <c r="H33" s="95">
        <f>VLOOKUP(C33,'СВОД на 2026г'!$B$2:$F$92,3,FALSE)</f>
        <v>143.934</v>
      </c>
      <c r="I33" s="95">
        <f t="shared" si="24"/>
        <v>1439.3399999999999</v>
      </c>
      <c r="J33" s="89"/>
      <c r="K33" s="88">
        <v>1935</v>
      </c>
    </row>
    <row r="34" ht="13.5">
      <c r="A34" s="89">
        <v>2026</v>
      </c>
      <c r="B34" s="90" t="s">
        <v>159</v>
      </c>
      <c r="C34" s="91" t="s">
        <v>166</v>
      </c>
      <c r="D34" s="92" t="s">
        <v>120</v>
      </c>
      <c r="E34" s="93">
        <v>25</v>
      </c>
      <c r="F34" s="93" t="s">
        <v>35</v>
      </c>
      <c r="G34" s="94">
        <v>24</v>
      </c>
      <c r="H34" s="95">
        <f>VLOOKUP(C34,'СВОД на 2026г'!$B$2:$F$92,3,FALSE)</f>
        <v>84.48299999999999</v>
      </c>
      <c r="I34" s="95">
        <f t="shared" si="24"/>
        <v>2027.5919999999996</v>
      </c>
      <c r="J34" s="89"/>
      <c r="K34" s="88">
        <v>1935</v>
      </c>
    </row>
    <row r="35" hidden="1">
      <c r="A35" s="89">
        <v>2026</v>
      </c>
      <c r="B35" s="90" t="s">
        <v>159</v>
      </c>
      <c r="C35" s="91" t="s">
        <v>167</v>
      </c>
      <c r="D35" s="92" t="s">
        <v>36</v>
      </c>
      <c r="E35" s="93">
        <v>159</v>
      </c>
      <c r="F35" s="93" t="s">
        <v>39</v>
      </c>
      <c r="G35" s="94">
        <v>10</v>
      </c>
      <c r="H35" s="95">
        <f>VLOOKUP(C35,'СВОД на 2026г'!$B$2:$F$92,3,FALSE)</f>
        <v>11126.723999999998</v>
      </c>
      <c r="I35" s="95">
        <f t="shared" si="24"/>
        <v>111267.23999999999</v>
      </c>
      <c r="J35" s="89"/>
      <c r="K35" s="88"/>
    </row>
    <row r="36" hidden="1">
      <c r="A36" s="89">
        <v>2026</v>
      </c>
      <c r="B36" s="90" t="s">
        <v>159</v>
      </c>
      <c r="C36" s="91" t="s">
        <v>124</v>
      </c>
      <c r="D36" s="92" t="s">
        <v>36</v>
      </c>
      <c r="E36" s="93">
        <v>159</v>
      </c>
      <c r="F36" s="93" t="s">
        <v>39</v>
      </c>
      <c r="G36" s="94">
        <v>4</v>
      </c>
      <c r="H36" s="95">
        <f>VLOOKUP(C36,'СВОД на 2026г'!$B$2:$F$92,3,FALSE)</f>
        <v>1449.1268166666666</v>
      </c>
      <c r="I36" s="95">
        <f t="shared" si="24"/>
        <v>5796.5072666666665</v>
      </c>
      <c r="J36" s="89"/>
      <c r="K36" s="88"/>
    </row>
    <row r="37" hidden="1">
      <c r="A37" s="89">
        <v>2026</v>
      </c>
      <c r="B37" s="90" t="s">
        <v>159</v>
      </c>
      <c r="C37" s="91" t="s">
        <v>168</v>
      </c>
      <c r="D37" s="92" t="s">
        <v>36</v>
      </c>
      <c r="E37" s="93">
        <v>76</v>
      </c>
      <c r="F37" s="93" t="s">
        <v>39</v>
      </c>
      <c r="G37" s="94">
        <v>6</v>
      </c>
      <c r="H37" s="95">
        <f>VLOOKUP(C37,'СВОД на 2026г'!$B$2:$F$92,3,FALSE)</f>
        <v>7043.6022019999991</v>
      </c>
      <c r="I37" s="95">
        <f t="shared" si="24"/>
        <v>42261.613211999997</v>
      </c>
      <c r="J37" s="89"/>
      <c r="K37" s="88"/>
    </row>
    <row r="38" hidden="1">
      <c r="A38" s="89">
        <v>2026</v>
      </c>
      <c r="B38" s="90" t="s">
        <v>159</v>
      </c>
      <c r="C38" s="91" t="s">
        <v>169</v>
      </c>
      <c r="D38" s="92" t="s">
        <v>36</v>
      </c>
      <c r="E38" s="93">
        <v>76</v>
      </c>
      <c r="F38" s="93" t="s">
        <v>39</v>
      </c>
      <c r="G38" s="94">
        <v>2</v>
      </c>
      <c r="H38" s="95">
        <f>VLOOKUP(C38,'СВОД на 2026г'!$B$2:$F$92,3,FALSE)</f>
        <v>6893.5270179999998</v>
      </c>
      <c r="I38" s="95">
        <f t="shared" si="24"/>
        <v>13787.054036</v>
      </c>
      <c r="J38" s="89"/>
      <c r="K38" s="88"/>
    </row>
    <row r="39" hidden="1">
      <c r="A39" s="89">
        <v>2026</v>
      </c>
      <c r="B39" s="90" t="s">
        <v>159</v>
      </c>
      <c r="C39" s="91" t="s">
        <v>170</v>
      </c>
      <c r="D39" s="92" t="s">
        <v>36</v>
      </c>
      <c r="E39" s="93">
        <v>76</v>
      </c>
      <c r="F39" s="93" t="s">
        <v>39</v>
      </c>
      <c r="G39" s="94">
        <v>2</v>
      </c>
      <c r="H39" s="95">
        <f>VLOOKUP(C39,'СВОД на 2026г'!$B$2:$F$92,3,FALSE)</f>
        <v>5816.8109999999997</v>
      </c>
      <c r="I39" s="95">
        <f t="shared" si="24"/>
        <v>11633.621999999999</v>
      </c>
      <c r="J39" s="89"/>
      <c r="K39" s="88"/>
    </row>
    <row r="40" hidden="1">
      <c r="A40" s="89">
        <v>2026</v>
      </c>
      <c r="B40" s="90" t="s">
        <v>159</v>
      </c>
      <c r="C40" s="91" t="s">
        <v>171</v>
      </c>
      <c r="D40" s="92" t="s">
        <v>36</v>
      </c>
      <c r="E40" s="93">
        <v>76</v>
      </c>
      <c r="F40" s="93" t="s">
        <v>39</v>
      </c>
      <c r="G40" s="94">
        <v>10</v>
      </c>
      <c r="H40" s="95">
        <f>VLOOKUP(C40,'СВОД на 2026г'!$B$2:$F$92,3,FALSE)</f>
        <v>289.93661666666668</v>
      </c>
      <c r="I40" s="95">
        <f t="shared" si="24"/>
        <v>2899.3661666666667</v>
      </c>
      <c r="J40" s="89"/>
      <c r="K40" s="88"/>
    </row>
    <row r="41" hidden="1">
      <c r="A41" s="89">
        <v>2026</v>
      </c>
      <c r="B41" s="90" t="s">
        <v>159</v>
      </c>
      <c r="C41" s="91" t="s">
        <v>172</v>
      </c>
      <c r="D41" s="92" t="s">
        <v>36</v>
      </c>
      <c r="E41" s="93">
        <v>57</v>
      </c>
      <c r="F41" s="93" t="s">
        <v>39</v>
      </c>
      <c r="G41" s="94">
        <v>6</v>
      </c>
      <c r="H41" s="95">
        <f>VLOOKUP(C41,'СВОД на 2026г'!$B$2:$F$92,3,FALSE)</f>
        <v>4393.116</v>
      </c>
      <c r="I41" s="95">
        <f t="shared" si="24"/>
        <v>26358.696</v>
      </c>
      <c r="J41" s="89"/>
      <c r="K41" s="88"/>
    </row>
    <row r="42" hidden="1">
      <c r="A42" s="89">
        <v>2026</v>
      </c>
      <c r="B42" s="90" t="s">
        <v>159</v>
      </c>
      <c r="C42" s="91" t="s">
        <v>173</v>
      </c>
      <c r="D42" s="92" t="s">
        <v>36</v>
      </c>
      <c r="E42" s="93">
        <v>57</v>
      </c>
      <c r="F42" s="93" t="s">
        <v>39</v>
      </c>
      <c r="G42" s="94">
        <v>8</v>
      </c>
      <c r="H42" s="95">
        <f>VLOOKUP(C42,'СВОД на 2026г'!$B$2:$F$92,3,FALSE)</f>
        <v>156.05018333333334</v>
      </c>
      <c r="I42" s="95">
        <f t="shared" si="24"/>
        <v>1248.4014666666667</v>
      </c>
      <c r="J42" s="89"/>
      <c r="K42" s="88"/>
    </row>
    <row r="43" hidden="1">
      <c r="A43" s="89">
        <v>2026</v>
      </c>
      <c r="B43" s="90" t="s">
        <v>159</v>
      </c>
      <c r="C43" s="91" t="s">
        <v>174</v>
      </c>
      <c r="D43" s="92" t="s">
        <v>36</v>
      </c>
      <c r="E43" s="93">
        <v>45</v>
      </c>
      <c r="F43" s="93" t="s">
        <v>39</v>
      </c>
      <c r="G43" s="94">
        <v>4</v>
      </c>
      <c r="H43" s="95">
        <f>VLOOKUP(C43,'СВОД на 2026г'!$B$2:$F$92,3,FALSE)</f>
        <v>101.3796</v>
      </c>
      <c r="I43" s="95">
        <f t="shared" si="24"/>
        <v>405.51839999999999</v>
      </c>
      <c r="J43" s="89"/>
      <c r="K43" s="88"/>
    </row>
    <row r="44" hidden="1">
      <c r="A44" s="89">
        <v>2026</v>
      </c>
      <c r="B44" s="90" t="s">
        <v>159</v>
      </c>
      <c r="C44" s="91" t="s">
        <v>175</v>
      </c>
      <c r="D44" s="92" t="s">
        <v>36</v>
      </c>
      <c r="E44" s="93">
        <v>32</v>
      </c>
      <c r="F44" s="93" t="s">
        <v>39</v>
      </c>
      <c r="G44" s="94">
        <v>6</v>
      </c>
      <c r="H44" s="95">
        <f>VLOOKUP(C44,'СВОД на 2026г'!$B$2:$F$92,3,FALSE)</f>
        <v>37.756599999999999</v>
      </c>
      <c r="I44" s="95">
        <f t="shared" si="24"/>
        <v>226.53960000000001</v>
      </c>
      <c r="J44" s="89"/>
      <c r="K44" s="88"/>
    </row>
    <row r="45" hidden="1">
      <c r="A45" s="89">
        <v>2026</v>
      </c>
      <c r="B45" s="90" t="s">
        <v>159</v>
      </c>
      <c r="C45" s="91" t="s">
        <v>176</v>
      </c>
      <c r="D45" s="92" t="s">
        <v>36</v>
      </c>
      <c r="E45" s="93">
        <v>32</v>
      </c>
      <c r="F45" s="93" t="s">
        <v>39</v>
      </c>
      <c r="G45" s="94">
        <v>6</v>
      </c>
      <c r="H45" s="95">
        <f>VLOOKUP(C45,'СВОД на 2026г'!$B$2:$F$92,3,FALSE)</f>
        <v>14.476839999999999</v>
      </c>
      <c r="I45" s="95">
        <f t="shared" si="24"/>
        <v>86.861040000000003</v>
      </c>
      <c r="J45" s="89"/>
      <c r="K45" s="88"/>
    </row>
    <row r="46" hidden="1">
      <c r="A46" s="89">
        <v>2026</v>
      </c>
      <c r="B46" s="90" t="s">
        <v>159</v>
      </c>
      <c r="C46" s="91" t="s">
        <v>177</v>
      </c>
      <c r="D46" s="92" t="s">
        <v>36</v>
      </c>
      <c r="E46" s="93">
        <v>32</v>
      </c>
      <c r="F46" s="93" t="s">
        <v>39</v>
      </c>
      <c r="G46" s="94">
        <v>2</v>
      </c>
      <c r="H46" s="95">
        <f>VLOOKUP(C46,'СВОД на 2026г'!$B$2:$F$92,3,FALSE)</f>
        <v>14.226519999999999</v>
      </c>
      <c r="I46" s="95">
        <f t="shared" si="24"/>
        <v>28.453039999999998</v>
      </c>
      <c r="J46" s="89"/>
      <c r="K46" s="88"/>
    </row>
    <row r="47" hidden="1">
      <c r="A47" s="89">
        <v>2026</v>
      </c>
      <c r="B47" s="90" t="s">
        <v>159</v>
      </c>
      <c r="C47" s="91" t="s">
        <v>178</v>
      </c>
      <c r="D47" s="92" t="s">
        <v>36</v>
      </c>
      <c r="E47" s="93">
        <v>32</v>
      </c>
      <c r="F47" s="93" t="s">
        <v>39</v>
      </c>
      <c r="G47" s="94">
        <v>8</v>
      </c>
      <c r="H47" s="95">
        <f>VLOOKUP(C47,'СВОД на 2026г'!$B$2:$F$92,3,FALSE)</f>
        <v>10.200539999999998</v>
      </c>
      <c r="I47" s="95">
        <f t="shared" si="24"/>
        <v>81.604319999999987</v>
      </c>
      <c r="J47" s="89"/>
      <c r="K47" s="88"/>
    </row>
    <row r="48" ht="13.5" hidden="1">
      <c r="A48" s="89">
        <v>2026</v>
      </c>
      <c r="B48" s="90" t="s">
        <v>159</v>
      </c>
      <c r="C48" s="91" t="s">
        <v>179</v>
      </c>
      <c r="D48" s="92" t="s">
        <v>36</v>
      </c>
      <c r="E48" s="93">
        <v>32</v>
      </c>
      <c r="F48" s="93" t="s">
        <v>39</v>
      </c>
      <c r="G48" s="94">
        <v>2</v>
      </c>
      <c r="H48" s="95">
        <f>VLOOKUP(C48,'СВОД на 2026г'!$B$2:$F$92,3,FALSE)</f>
        <v>8.3439999999999994</v>
      </c>
      <c r="I48" s="95">
        <f t="shared" si="24"/>
        <v>16.687999999999999</v>
      </c>
      <c r="J48" s="89"/>
      <c r="K48" s="88"/>
    </row>
    <row r="49" hidden="1">
      <c r="A49" s="89">
        <v>2026</v>
      </c>
      <c r="B49" s="90" t="s">
        <v>159</v>
      </c>
      <c r="C49" s="91" t="s">
        <v>180</v>
      </c>
      <c r="D49" s="92" t="s">
        <v>36</v>
      </c>
      <c r="E49" s="93">
        <v>32</v>
      </c>
      <c r="F49" s="93" t="s">
        <v>39</v>
      </c>
      <c r="G49" s="94">
        <v>2</v>
      </c>
      <c r="H49" s="95">
        <f>VLOOKUP(C49,'СВОД на 2026г'!$B$2:$F$92,3,FALSE)</f>
        <v>5.141989999999999</v>
      </c>
      <c r="I49" s="95">
        <f t="shared" si="24"/>
        <v>10.283979999999998</v>
      </c>
      <c r="J49" s="89"/>
      <c r="K49" s="88"/>
    </row>
    <row r="50" hidden="1">
      <c r="A50" s="89">
        <v>2026</v>
      </c>
      <c r="B50" s="90" t="s">
        <v>159</v>
      </c>
      <c r="C50" s="91" t="s">
        <v>181</v>
      </c>
      <c r="D50" s="92" t="s">
        <v>129</v>
      </c>
      <c r="E50" s="93" t="s">
        <v>182</v>
      </c>
      <c r="F50" s="93" t="s">
        <v>39</v>
      </c>
      <c r="G50" s="94">
        <v>2</v>
      </c>
      <c r="H50" s="95">
        <f>VLOOKUP(C50,'СВОД на 2026г'!$B$2:$F$92,3,FALSE)</f>
        <v>2068.2689999999998</v>
      </c>
      <c r="I50" s="95">
        <f t="shared" si="24"/>
        <v>4136.5379999999996</v>
      </c>
      <c r="J50" s="89"/>
      <c r="K50" s="88"/>
    </row>
    <row r="51" hidden="1">
      <c r="A51" s="89">
        <v>2026</v>
      </c>
      <c r="B51" s="90" t="s">
        <v>159</v>
      </c>
      <c r="C51" s="91" t="s">
        <v>183</v>
      </c>
      <c r="D51" s="92" t="s">
        <v>129</v>
      </c>
      <c r="E51" s="93">
        <v>25</v>
      </c>
      <c r="F51" s="93" t="s">
        <v>39</v>
      </c>
      <c r="G51" s="94">
        <v>2</v>
      </c>
      <c r="H51" s="95">
        <f>VLOOKUP(C51,'СВОД на 2026г'!$B$2:$F$92,3,FALSE)</f>
        <v>30.246999999999996</v>
      </c>
      <c r="I51" s="95">
        <f t="shared" si="24"/>
        <v>60.493999999999993</v>
      </c>
      <c r="J51" s="89"/>
      <c r="K51" s="88"/>
    </row>
    <row r="52" hidden="1">
      <c r="A52" s="89">
        <v>2026</v>
      </c>
      <c r="B52" s="90" t="s">
        <v>159</v>
      </c>
      <c r="C52" s="91" t="s">
        <v>184</v>
      </c>
      <c r="D52" s="92" t="s">
        <v>129</v>
      </c>
      <c r="E52" s="93">
        <v>20</v>
      </c>
      <c r="F52" s="93" t="s">
        <v>39</v>
      </c>
      <c r="G52" s="94">
        <v>2</v>
      </c>
      <c r="H52" s="95">
        <f>VLOOKUP(C52,'СВОД на 2026г'!$B$2:$F$92,3,FALSE)</f>
        <v>39.634</v>
      </c>
      <c r="I52" s="95">
        <f t="shared" si="24"/>
        <v>79.268000000000001</v>
      </c>
      <c r="J52" s="89"/>
      <c r="K52" s="88"/>
    </row>
    <row r="53" hidden="1">
      <c r="A53" s="89">
        <v>2026</v>
      </c>
      <c r="B53" s="90" t="s">
        <v>159</v>
      </c>
      <c r="C53" s="91" t="s">
        <v>185</v>
      </c>
      <c r="D53" s="92" t="s">
        <v>129</v>
      </c>
      <c r="E53" s="93" t="s">
        <v>186</v>
      </c>
      <c r="F53" s="93" t="s">
        <v>39</v>
      </c>
      <c r="G53" s="94">
        <v>2</v>
      </c>
      <c r="H53" s="95">
        <f>VLOOKUP(C53,'СВОД на 2026г'!$B$2:$F$92,3,FALSE)</f>
        <v>88.654999999999987</v>
      </c>
      <c r="I53" s="95">
        <f t="shared" si="24"/>
        <v>177.30999999999997</v>
      </c>
      <c r="J53" s="89"/>
      <c r="K53" s="88"/>
    </row>
    <row r="54" hidden="1">
      <c r="A54" s="89">
        <v>2026</v>
      </c>
      <c r="B54" s="90" t="s">
        <v>159</v>
      </c>
      <c r="C54" s="91" t="s">
        <v>187</v>
      </c>
      <c r="D54" s="92" t="s">
        <v>129</v>
      </c>
      <c r="E54" s="93" t="s">
        <v>188</v>
      </c>
      <c r="F54" s="93" t="s">
        <v>39</v>
      </c>
      <c r="G54" s="94">
        <v>2</v>
      </c>
      <c r="H54" s="95">
        <f>VLOOKUP(C54,'СВОД на 2026г'!$B$2:$F$92,3,FALSE)</f>
        <v>71.966999999999999</v>
      </c>
      <c r="I54" s="95">
        <f t="shared" si="24"/>
        <v>143.934</v>
      </c>
      <c r="J54" s="89"/>
      <c r="K54" s="88"/>
    </row>
    <row r="55" hidden="1">
      <c r="A55" s="89">
        <v>2026</v>
      </c>
      <c r="B55" s="90" t="s">
        <v>159</v>
      </c>
      <c r="C55" s="91" t="s">
        <v>189</v>
      </c>
      <c r="D55" s="92" t="s">
        <v>190</v>
      </c>
      <c r="E55" s="93" t="s">
        <v>191</v>
      </c>
      <c r="F55" s="93" t="s">
        <v>39</v>
      </c>
      <c r="G55" s="94">
        <v>2</v>
      </c>
      <c r="H55" s="95">
        <f>VLOOKUP(C55,'СВОД на 2026г'!$B$2:$F$92,3,FALSE)</f>
        <v>13167.874999999998</v>
      </c>
      <c r="I55" s="95">
        <f t="shared" si="24"/>
        <v>26335.749999999996</v>
      </c>
      <c r="J55" s="89"/>
      <c r="K55" s="88"/>
    </row>
    <row r="56" hidden="1">
      <c r="A56" s="89">
        <v>2026</v>
      </c>
      <c r="B56" s="90" t="s">
        <v>159</v>
      </c>
      <c r="C56" s="91" t="s">
        <v>189</v>
      </c>
      <c r="D56" s="92" t="s">
        <v>190</v>
      </c>
      <c r="E56" s="93" t="s">
        <v>192</v>
      </c>
      <c r="F56" s="93" t="s">
        <v>39</v>
      </c>
      <c r="G56" s="94">
        <v>1</v>
      </c>
      <c r="H56" s="95">
        <f>VLOOKUP(C56,'СВОД на 2026г'!$B$2:$F$92,3,FALSE)</f>
        <v>13167.874999999998</v>
      </c>
      <c r="I56" s="95">
        <f t="shared" si="24"/>
        <v>13167.874999999998</v>
      </c>
      <c r="J56" s="89"/>
      <c r="K56" s="88"/>
    </row>
    <row r="57" hidden="1">
      <c r="A57" s="89">
        <v>2026</v>
      </c>
      <c r="B57" s="90" t="s">
        <v>159</v>
      </c>
      <c r="C57" s="91" t="s">
        <v>193</v>
      </c>
      <c r="D57" s="92" t="s">
        <v>190</v>
      </c>
      <c r="E57" s="93" t="s">
        <v>194</v>
      </c>
      <c r="F57" s="93" t="s">
        <v>39</v>
      </c>
      <c r="G57" s="94">
        <v>2</v>
      </c>
      <c r="H57" s="95">
        <f>VLOOKUP(C57,'СВОД на 2026г'!$B$2:$F$92,3,FALSE)</f>
        <v>8341.9139999999989</v>
      </c>
      <c r="I57" s="95">
        <f t="shared" si="24"/>
        <v>16683.827999999998</v>
      </c>
      <c r="J57" s="89"/>
      <c r="K57" s="88"/>
    </row>
    <row r="58" hidden="1">
      <c r="A58" s="89">
        <v>2026</v>
      </c>
      <c r="B58" s="90" t="s">
        <v>159</v>
      </c>
      <c r="C58" s="91" t="s">
        <v>195</v>
      </c>
      <c r="D58" s="92" t="s">
        <v>190</v>
      </c>
      <c r="E58" s="93" t="s">
        <v>182</v>
      </c>
      <c r="F58" s="93" t="s">
        <v>39</v>
      </c>
      <c r="G58" s="94">
        <v>1</v>
      </c>
      <c r="H58" s="95">
        <f>VLOOKUP(C58,'СВОД на 2026г'!$B$2:$F$92,3,FALSE)</f>
        <v>8846.7259999999987</v>
      </c>
      <c r="I58" s="95">
        <f t="shared" si="24"/>
        <v>8846.7259999999987</v>
      </c>
      <c r="J58" s="89"/>
      <c r="K58" s="88"/>
    </row>
    <row r="59" hidden="1">
      <c r="A59" s="89">
        <v>2026</v>
      </c>
      <c r="B59" s="90" t="s">
        <v>159</v>
      </c>
      <c r="C59" s="91" t="s">
        <v>196</v>
      </c>
      <c r="D59" s="92" t="s">
        <v>190</v>
      </c>
      <c r="E59" s="93" t="s">
        <v>197</v>
      </c>
      <c r="F59" s="93" t="s">
        <v>39</v>
      </c>
      <c r="G59" s="94">
        <v>2</v>
      </c>
      <c r="H59" s="95">
        <f>VLOOKUP(C59,'СВОД на 2026г'!$B$2:$F$92,3,FALSE)</f>
        <v>7944.1833333333334</v>
      </c>
      <c r="I59" s="95">
        <f t="shared" si="24"/>
        <v>15888.366666666667</v>
      </c>
      <c r="J59" s="89"/>
      <c r="K59" s="88"/>
    </row>
    <row r="60" hidden="1">
      <c r="A60" s="89">
        <v>2026</v>
      </c>
      <c r="B60" s="90" t="s">
        <v>159</v>
      </c>
      <c r="C60" s="91" t="s">
        <v>196</v>
      </c>
      <c r="D60" s="92" t="s">
        <v>190</v>
      </c>
      <c r="E60" s="93" t="s">
        <v>198</v>
      </c>
      <c r="F60" s="93" t="s">
        <v>39</v>
      </c>
      <c r="G60" s="94">
        <v>1</v>
      </c>
      <c r="H60" s="95">
        <f>VLOOKUP(C60,'СВОД на 2026г'!$B$2:$F$92,3,FALSE)</f>
        <v>7944.1833333333334</v>
      </c>
      <c r="I60" s="95">
        <f t="shared" si="24"/>
        <v>7944.1833333333334</v>
      </c>
      <c r="J60" s="89"/>
      <c r="K60" s="88"/>
    </row>
    <row r="61" hidden="1">
      <c r="A61" s="89">
        <v>2026</v>
      </c>
      <c r="B61" s="90" t="s">
        <v>159</v>
      </c>
      <c r="C61" s="91" t="s">
        <v>199</v>
      </c>
      <c r="D61" s="92" t="s">
        <v>190</v>
      </c>
      <c r="E61" s="93" t="s">
        <v>182</v>
      </c>
      <c r="F61" s="93" t="s">
        <v>39</v>
      </c>
      <c r="G61" s="94">
        <v>1</v>
      </c>
      <c r="H61" s="95">
        <f>VLOOKUP(C61,'СВОД на 2026г'!$B$2:$F$92,3,FALSE)</f>
        <v>7340.6339999999991</v>
      </c>
      <c r="I61" s="95">
        <f t="shared" si="24"/>
        <v>7340.6339999999991</v>
      </c>
      <c r="J61" s="89"/>
      <c r="K61" s="88"/>
    </row>
    <row r="62" hidden="1">
      <c r="A62" s="89">
        <v>2026</v>
      </c>
      <c r="B62" s="90" t="s">
        <v>159</v>
      </c>
      <c r="C62" s="91" t="s">
        <v>200</v>
      </c>
      <c r="D62" s="92" t="s">
        <v>201</v>
      </c>
      <c r="E62" s="93" t="s">
        <v>192</v>
      </c>
      <c r="F62" s="93" t="s">
        <v>39</v>
      </c>
      <c r="G62" s="94">
        <v>1</v>
      </c>
      <c r="H62" s="95">
        <f>VLOOKUP(C62,'СВОД на 2026г'!$B$2:$F$92,3,FALSE)</f>
        <v>16226.993999999999</v>
      </c>
      <c r="I62" s="95">
        <f t="shared" si="24"/>
        <v>16226.993999999999</v>
      </c>
      <c r="J62" s="89"/>
      <c r="K62" s="88"/>
    </row>
    <row r="63" hidden="1">
      <c r="A63" s="89">
        <v>2026</v>
      </c>
      <c r="B63" s="90" t="s">
        <v>159</v>
      </c>
      <c r="C63" s="91" t="s">
        <v>202</v>
      </c>
      <c r="D63" s="92" t="s">
        <v>201</v>
      </c>
      <c r="E63" s="93" t="s">
        <v>182</v>
      </c>
      <c r="F63" s="93" t="s">
        <v>39</v>
      </c>
      <c r="G63" s="94">
        <v>1</v>
      </c>
      <c r="H63" s="95">
        <f>VLOOKUP(C63,'СВОД на 2026г'!$B$2:$F$92,3,FALSE)</f>
        <v>11747.308999999999</v>
      </c>
      <c r="I63" s="95">
        <f t="shared" si="24"/>
        <v>11747.308999999999</v>
      </c>
      <c r="J63" s="89"/>
      <c r="K63" s="88"/>
    </row>
    <row r="64" hidden="1">
      <c r="A64" s="89">
        <v>2026</v>
      </c>
      <c r="B64" s="90" t="s">
        <v>159</v>
      </c>
      <c r="C64" s="91" t="s">
        <v>203</v>
      </c>
      <c r="D64" s="92" t="s">
        <v>201</v>
      </c>
      <c r="E64" s="93" t="s">
        <v>198</v>
      </c>
      <c r="F64" s="93" t="s">
        <v>39</v>
      </c>
      <c r="G64" s="94">
        <v>1</v>
      </c>
      <c r="H64" s="95">
        <f>VLOOKUP(C64,'СВОД на 2026г'!$B$2:$F$92,3,FALSE)</f>
        <v>10645.901</v>
      </c>
      <c r="I64" s="95">
        <f t="shared" si="24"/>
        <v>10645.901</v>
      </c>
      <c r="J64" s="89"/>
      <c r="K64" s="88"/>
    </row>
    <row r="65" hidden="1">
      <c r="A65" s="89">
        <v>2026</v>
      </c>
      <c r="B65" s="90" t="s">
        <v>159</v>
      </c>
      <c r="C65" s="91" t="s">
        <v>204</v>
      </c>
      <c r="D65" s="92" t="s">
        <v>201</v>
      </c>
      <c r="E65" s="93" t="s">
        <v>91</v>
      </c>
      <c r="F65" s="93" t="s">
        <v>39</v>
      </c>
      <c r="G65" s="94">
        <v>1</v>
      </c>
      <c r="H65" s="95">
        <f>VLOOKUP(C65,'СВОД на 2026г'!$B$2:$F$92,3,FALSE)</f>
        <v>9648.7929999999997</v>
      </c>
      <c r="I65" s="95">
        <f t="shared" si="24"/>
        <v>9648.7929999999997</v>
      </c>
      <c r="J65" s="89"/>
      <c r="K65" s="88"/>
    </row>
    <row r="66" hidden="1">
      <c r="A66" s="89">
        <v>2026</v>
      </c>
      <c r="B66" s="90" t="s">
        <v>159</v>
      </c>
      <c r="C66" s="96" t="s">
        <v>133</v>
      </c>
      <c r="D66" s="97" t="s">
        <v>110</v>
      </c>
      <c r="E66" s="93">
        <v>100</v>
      </c>
      <c r="F66" s="93" t="s">
        <v>39</v>
      </c>
      <c r="G66" s="94">
        <v>2</v>
      </c>
      <c r="H66" s="95">
        <f>VLOOKUP(C66,'СВОД на 2026г'!$B$2:$F$92,3,FALSE)</f>
        <v>9101.0441666666666</v>
      </c>
      <c r="I66" s="95">
        <f t="shared" si="24"/>
        <v>18202.088333333333</v>
      </c>
      <c r="J66" s="89"/>
      <c r="K66" s="88"/>
    </row>
    <row r="67" hidden="1">
      <c r="A67" s="89">
        <v>2026</v>
      </c>
      <c r="B67" s="90" t="s">
        <v>159</v>
      </c>
      <c r="C67" s="96" t="s">
        <v>205</v>
      </c>
      <c r="D67" s="97" t="s">
        <v>110</v>
      </c>
      <c r="E67" s="93">
        <v>80</v>
      </c>
      <c r="F67" s="93" t="s">
        <v>39</v>
      </c>
      <c r="G67" s="94">
        <v>2</v>
      </c>
      <c r="H67" s="95">
        <f>VLOOKUP(C67,'СВОД на 2026г'!$B$2:$F$92,3,FALSE)</f>
        <v>5158.8344500000003</v>
      </c>
      <c r="I67" s="95">
        <f t="shared" si="24"/>
        <v>10317.668900000001</v>
      </c>
      <c r="J67" s="89"/>
      <c r="K67" s="88"/>
    </row>
    <row r="68" hidden="1">
      <c r="A68" s="89">
        <v>2026</v>
      </c>
      <c r="B68" s="90" t="s">
        <v>159</v>
      </c>
      <c r="C68" s="96" t="s">
        <v>206</v>
      </c>
      <c r="D68" s="97" t="s">
        <v>110</v>
      </c>
      <c r="E68" s="93">
        <v>80</v>
      </c>
      <c r="F68" s="93" t="s">
        <v>39</v>
      </c>
      <c r="G68" s="94">
        <v>4</v>
      </c>
      <c r="H68" s="95">
        <f>VLOOKUP(C68,'СВОД на 2026г'!$B$2:$F$92,3,FALSE)</f>
        <v>4064.53255502</v>
      </c>
      <c r="I68" s="95">
        <f t="shared" si="24"/>
        <v>16258.13022008</v>
      </c>
      <c r="J68" s="89"/>
      <c r="K68" s="88"/>
    </row>
    <row r="69" hidden="1">
      <c r="A69" s="89">
        <v>2026</v>
      </c>
      <c r="B69" s="90" t="s">
        <v>159</v>
      </c>
      <c r="C69" s="96" t="s">
        <v>207</v>
      </c>
      <c r="D69" s="97" t="s">
        <v>110</v>
      </c>
      <c r="E69" s="93">
        <v>40</v>
      </c>
      <c r="F69" s="93" t="s">
        <v>39</v>
      </c>
      <c r="G69" s="94">
        <v>2</v>
      </c>
      <c r="H69" s="95">
        <f>VLOOKUP(C69,'СВОД на 2026г'!$B$2:$F$92,3,FALSE)</f>
        <v>2970.2306600399997</v>
      </c>
      <c r="I69" s="95">
        <f t="shared" si="24"/>
        <v>5940.4613200799995</v>
      </c>
      <c r="J69" s="89"/>
      <c r="K69" s="88"/>
    </row>
    <row r="70" hidden="1">
      <c r="A70" s="89">
        <v>2026</v>
      </c>
      <c r="B70" s="90" t="s">
        <v>159</v>
      </c>
      <c r="C70" s="96" t="s">
        <v>208</v>
      </c>
      <c r="D70" s="97" t="s">
        <v>110</v>
      </c>
      <c r="E70" s="93">
        <v>40</v>
      </c>
      <c r="F70" s="93" t="s">
        <v>39</v>
      </c>
      <c r="G70" s="94">
        <v>2</v>
      </c>
      <c r="H70" s="95">
        <f>VLOOKUP(C70,'СВОД на 2026г'!$B$2:$F$92,3,FALSE)</f>
        <v>1084.72</v>
      </c>
      <c r="I70" s="95">
        <f t="shared" si="24"/>
        <v>2169.4400000000001</v>
      </c>
      <c r="J70" s="89"/>
      <c r="K70" s="88"/>
    </row>
    <row r="71" hidden="1">
      <c r="A71" s="89">
        <v>2026</v>
      </c>
      <c r="B71" s="90" t="s">
        <v>159</v>
      </c>
      <c r="C71" s="96" t="s">
        <v>209</v>
      </c>
      <c r="D71" s="97" t="s">
        <v>110</v>
      </c>
      <c r="E71" s="93">
        <v>40</v>
      </c>
      <c r="F71" s="93" t="s">
        <v>39</v>
      </c>
      <c r="G71" s="94">
        <v>4</v>
      </c>
      <c r="H71" s="95">
        <f>VLOOKUP(C71,'СВОД на 2026г'!$B$2:$F$92,3,FALSE)</f>
        <v>1021.2708333333334</v>
      </c>
      <c r="I71" s="95">
        <f t="shared" si="24"/>
        <v>4085.0833333333335</v>
      </c>
      <c r="J71" s="89"/>
      <c r="K71" s="88"/>
    </row>
    <row r="72" hidden="1">
      <c r="A72" s="89">
        <v>2026</v>
      </c>
      <c r="B72" s="90" t="s">
        <v>159</v>
      </c>
      <c r="C72" s="91" t="s">
        <v>210</v>
      </c>
      <c r="D72" s="92" t="s">
        <v>211</v>
      </c>
      <c r="E72" s="93" t="s">
        <v>212</v>
      </c>
      <c r="F72" s="93" t="s">
        <v>39</v>
      </c>
      <c r="G72" s="94">
        <v>10</v>
      </c>
      <c r="H72" s="95">
        <f>VLOOKUP(C72,'СВОД на 2026г'!$B$2:$F$92,3,FALSE)</f>
        <v>2917.2709999999997</v>
      </c>
      <c r="I72" s="95">
        <f t="shared" si="24"/>
        <v>29172.709999999999</v>
      </c>
      <c r="J72" s="89"/>
      <c r="K72" s="88"/>
    </row>
    <row r="73" hidden="1">
      <c r="A73" s="89">
        <v>2026</v>
      </c>
      <c r="B73" s="90" t="s">
        <v>159</v>
      </c>
      <c r="C73" s="98" t="s">
        <v>136</v>
      </c>
      <c r="D73" s="92" t="s">
        <v>107</v>
      </c>
      <c r="E73" s="99" t="s">
        <v>137</v>
      </c>
      <c r="F73" s="93" t="s">
        <v>138</v>
      </c>
      <c r="G73" s="94">
        <v>7</v>
      </c>
      <c r="H73" s="95">
        <f>VLOOKUP(C73,'СВОД на 2026г'!$B$2:$F$92,3,FALSE)</f>
        <v>1121.1499040000001</v>
      </c>
      <c r="I73" s="95">
        <f t="shared" si="24"/>
        <v>7848.049328000001</v>
      </c>
      <c r="J73" s="89"/>
      <c r="K73" s="88"/>
    </row>
    <row r="74" hidden="1">
      <c r="A74" s="89">
        <v>2026</v>
      </c>
      <c r="B74" s="90" t="s">
        <v>159</v>
      </c>
      <c r="C74" s="98" t="s">
        <v>139</v>
      </c>
      <c r="D74" s="92" t="s">
        <v>107</v>
      </c>
      <c r="E74" s="99" t="s">
        <v>140</v>
      </c>
      <c r="F74" s="93" t="s">
        <v>141</v>
      </c>
      <c r="G74" s="94">
        <v>3</v>
      </c>
      <c r="H74" s="95">
        <f>VLOOKUP(C74,'СВОД на 2026г'!$B$2:$F$92,3,FALSE)</f>
        <v>2990.4687400000003</v>
      </c>
      <c r="I74" s="95">
        <f t="shared" si="24"/>
        <v>8971.4062200000008</v>
      </c>
      <c r="J74" s="89"/>
      <c r="K74" s="88"/>
    </row>
    <row r="75" hidden="1">
      <c r="A75" s="89">
        <v>2026</v>
      </c>
      <c r="B75" s="90" t="s">
        <v>159</v>
      </c>
      <c r="C75" s="96" t="s">
        <v>142</v>
      </c>
      <c r="D75" s="92" t="s">
        <v>107</v>
      </c>
      <c r="E75" s="99" t="s">
        <v>75</v>
      </c>
      <c r="F75" s="93" t="s">
        <v>76</v>
      </c>
      <c r="G75" s="94">
        <v>60</v>
      </c>
      <c r="H75" s="95">
        <f>VLOOKUP(C75,'СВОД на 2026г'!$B$2:$F$92,3,FALSE)</f>
        <v>349.44344498000004</v>
      </c>
      <c r="I75" s="95">
        <f t="shared" si="24"/>
        <v>20966.606698800002</v>
      </c>
      <c r="J75" s="89"/>
      <c r="K75" s="88"/>
    </row>
    <row r="76" hidden="1">
      <c r="A76" s="89">
        <v>2026</v>
      </c>
      <c r="B76" s="90" t="s">
        <v>159</v>
      </c>
      <c r="C76" s="96" t="s">
        <v>143</v>
      </c>
      <c r="D76" s="92" t="s">
        <v>107</v>
      </c>
      <c r="E76" s="99" t="s">
        <v>75</v>
      </c>
      <c r="F76" s="93" t="s">
        <v>76</v>
      </c>
      <c r="G76" s="94">
        <v>60</v>
      </c>
      <c r="H76" s="95">
        <f>VLOOKUP(C76,'СВОД на 2026г'!$B$2:$F$92,3,FALSE)</f>
        <v>350.35934500000002</v>
      </c>
      <c r="I76" s="95">
        <f t="shared" si="24"/>
        <v>21021.560700000002</v>
      </c>
      <c r="J76" s="89"/>
      <c r="K76" s="88"/>
    </row>
    <row r="77" hidden="1">
      <c r="A77" s="89">
        <v>2026</v>
      </c>
      <c r="B77" s="90" t="s">
        <v>159</v>
      </c>
      <c r="C77" s="96" t="s">
        <v>144</v>
      </c>
      <c r="D77" s="92" t="s">
        <v>107</v>
      </c>
      <c r="E77" s="93" t="s">
        <v>145</v>
      </c>
      <c r="F77" s="93" t="s">
        <v>39</v>
      </c>
      <c r="G77" s="94">
        <v>250</v>
      </c>
      <c r="H77" s="95">
        <f>VLOOKUP(C77,'СВОД на 2026г'!$B$2:$F$92,3,FALSE)</f>
        <v>32.17788504</v>
      </c>
      <c r="I77" s="95">
        <f t="shared" si="24"/>
        <v>8044.4712600000003</v>
      </c>
      <c r="J77" s="89"/>
      <c r="K77" s="88"/>
    </row>
    <row r="78" hidden="1">
      <c r="A78" s="89">
        <v>2026</v>
      </c>
      <c r="B78" s="90" t="s">
        <v>159</v>
      </c>
      <c r="C78" s="98" t="s">
        <v>146</v>
      </c>
      <c r="D78" s="92" t="s">
        <v>107</v>
      </c>
      <c r="E78" s="93" t="s">
        <v>147</v>
      </c>
      <c r="F78" s="93" t="s">
        <v>39</v>
      </c>
      <c r="G78" s="94">
        <v>110</v>
      </c>
      <c r="H78" s="95">
        <f>VLOOKUP(C78,'СВОД на 2026г'!$B$2:$F$92,3,FALSE)</f>
        <v>105.75886496000001</v>
      </c>
      <c r="I78" s="95">
        <f t="shared" si="24"/>
        <v>11633.475145600001</v>
      </c>
      <c r="J78" s="89"/>
      <c r="K78" s="88"/>
    </row>
    <row r="79" hidden="1">
      <c r="A79" s="89">
        <v>2026</v>
      </c>
      <c r="B79" s="90" t="s">
        <v>159</v>
      </c>
      <c r="C79" s="96" t="s">
        <v>148</v>
      </c>
      <c r="D79" s="92" t="s">
        <v>107</v>
      </c>
      <c r="E79" s="93" t="s">
        <v>149</v>
      </c>
      <c r="F79" s="93" t="s">
        <v>39</v>
      </c>
      <c r="G79" s="94">
        <v>28</v>
      </c>
      <c r="H79" s="95">
        <f>VLOOKUP(C79,'СВОД на 2026г'!$B$2:$F$92,3,FALSE)</f>
        <v>62.579999999999998</v>
      </c>
      <c r="I79" s="95">
        <f t="shared" si="24"/>
        <v>1752.24</v>
      </c>
      <c r="J79" s="89"/>
      <c r="K79" s="88"/>
    </row>
    <row r="80" hidden="1">
      <c r="A80" s="89">
        <v>2026</v>
      </c>
      <c r="B80" s="90" t="s">
        <v>159</v>
      </c>
      <c r="C80" s="91" t="s">
        <v>213</v>
      </c>
      <c r="D80" s="92" t="s">
        <v>151</v>
      </c>
      <c r="E80" s="93">
        <v>159</v>
      </c>
      <c r="F80" s="93" t="s">
        <v>39</v>
      </c>
      <c r="G80" s="94">
        <v>18</v>
      </c>
      <c r="H80" s="95">
        <f>VLOOKUP(C80,'СВОД на 2026г'!$B$2:$F$92,3,FALSE)</f>
        <v>1397.6199999999999</v>
      </c>
      <c r="I80" s="95">
        <f t="shared" si="24"/>
        <v>25157.159999999996</v>
      </c>
      <c r="J80" s="89"/>
      <c r="K80" s="88"/>
    </row>
    <row r="81" hidden="1">
      <c r="A81" s="89">
        <v>2026</v>
      </c>
      <c r="B81" s="90" t="s">
        <v>159</v>
      </c>
      <c r="C81" s="91" t="s">
        <v>214</v>
      </c>
      <c r="D81" s="92" t="s">
        <v>151</v>
      </c>
      <c r="E81" s="93">
        <v>76</v>
      </c>
      <c r="F81" s="93" t="s">
        <v>39</v>
      </c>
      <c r="G81" s="94">
        <v>12</v>
      </c>
      <c r="H81" s="95">
        <f>VLOOKUP(C81,'СВОД на 2026г'!$B$2:$F$92,3,FALSE)</f>
        <v>1595.6523240000001</v>
      </c>
      <c r="I81" s="95">
        <f t="shared" si="24"/>
        <v>19147.827888</v>
      </c>
      <c r="J81" s="89"/>
      <c r="K81" s="88">
        <v>1175</v>
      </c>
    </row>
    <row r="82" hidden="1">
      <c r="A82" s="89">
        <v>2026</v>
      </c>
      <c r="B82" s="90" t="s">
        <v>159</v>
      </c>
      <c r="C82" s="91" t="s">
        <v>215</v>
      </c>
      <c r="D82" s="92" t="s">
        <v>151</v>
      </c>
      <c r="E82" s="93">
        <v>76</v>
      </c>
      <c r="F82" s="93" t="s">
        <v>39</v>
      </c>
      <c r="G82" s="94">
        <v>8</v>
      </c>
      <c r="H82" s="95">
        <f>VLOOKUP(C82,'СВОД на 2026г'!$B$2:$F$92,3,FALSE)</f>
        <v>1595.6523240000001</v>
      </c>
      <c r="I82" s="95">
        <f t="shared" si="24"/>
        <v>12765.218592000001</v>
      </c>
      <c r="J82" s="89"/>
      <c r="K82" s="88">
        <v>364</v>
      </c>
    </row>
    <row r="83" hidden="1">
      <c r="A83" s="89">
        <v>2026</v>
      </c>
      <c r="B83" s="90" t="s">
        <v>159</v>
      </c>
      <c r="C83" s="91" t="s">
        <v>216</v>
      </c>
      <c r="D83" s="92" t="s">
        <v>151</v>
      </c>
      <c r="E83" s="93">
        <v>57</v>
      </c>
      <c r="F83" s="93" t="s">
        <v>39</v>
      </c>
      <c r="G83" s="94">
        <v>18</v>
      </c>
      <c r="H83" s="95">
        <f>VLOOKUP(C83,'СВОД на 2026г'!$B$2:$F$92,3,FALSE)</f>
        <v>1614.4117219999998</v>
      </c>
      <c r="I83" s="95">
        <f t="shared" si="24"/>
        <v>29059.410995999999</v>
      </c>
      <c r="J83" s="89"/>
      <c r="K83" s="88">
        <v>1366.4300000000001</v>
      </c>
    </row>
    <row r="84" hidden="1">
      <c r="A84" s="89">
        <v>2026</v>
      </c>
      <c r="B84" s="90" t="s">
        <v>159</v>
      </c>
      <c r="C84" s="91" t="s">
        <v>217</v>
      </c>
      <c r="D84" s="92" t="s">
        <v>151</v>
      </c>
      <c r="E84" s="93">
        <v>57</v>
      </c>
      <c r="F84" s="93" t="s">
        <v>39</v>
      </c>
      <c r="G84" s="94">
        <v>17</v>
      </c>
      <c r="H84" s="95">
        <f>VLOOKUP(C84,'СВОД на 2026г'!$B$2:$F$92,3,FALSE)</f>
        <v>1554.823046</v>
      </c>
      <c r="I84" s="95">
        <f t="shared" si="24"/>
        <v>26431.991782000001</v>
      </c>
      <c r="J84" s="89"/>
      <c r="K84" s="88">
        <v>1409</v>
      </c>
    </row>
    <row r="85" hidden="1">
      <c r="A85" s="89">
        <v>2026</v>
      </c>
      <c r="B85" s="90" t="s">
        <v>159</v>
      </c>
      <c r="C85" s="91" t="s">
        <v>218</v>
      </c>
      <c r="D85" s="92" t="s">
        <v>151</v>
      </c>
      <c r="E85" s="93">
        <v>45</v>
      </c>
      <c r="F85" s="93" t="s">
        <v>39</v>
      </c>
      <c r="G85" s="94">
        <v>8</v>
      </c>
      <c r="H85" s="95">
        <f>VLOOKUP(C85,'СВОД на 2026г'!$B$2:$F$92,3,FALSE)</f>
        <v>1634.2746139999999</v>
      </c>
      <c r="I85" s="95">
        <f t="shared" si="24"/>
        <v>13074.196911999999</v>
      </c>
      <c r="J85" s="89"/>
      <c r="K85" s="88"/>
    </row>
    <row r="86" hidden="1">
      <c r="A86" s="89">
        <v>2026</v>
      </c>
      <c r="B86" s="90" t="s">
        <v>159</v>
      </c>
      <c r="C86" s="91" t="s">
        <v>219</v>
      </c>
      <c r="D86" s="97" t="s">
        <v>107</v>
      </c>
      <c r="E86" s="93">
        <v>32</v>
      </c>
      <c r="F86" s="93" t="s">
        <v>39</v>
      </c>
      <c r="G86" s="94">
        <v>5</v>
      </c>
      <c r="H86" s="95">
        <f>VLOOKUP(C86,'СВОД на 2026г'!$B$2:$F$92,3,FALSE)</f>
        <v>50.063999999999993</v>
      </c>
      <c r="I86" s="95">
        <f t="shared" si="24"/>
        <v>250.31999999999996</v>
      </c>
      <c r="J86" s="89"/>
      <c r="K86" s="88"/>
    </row>
    <row r="87" hidden="1">
      <c r="A87" s="89">
        <v>2026</v>
      </c>
      <c r="B87" s="90" t="s">
        <v>159</v>
      </c>
      <c r="C87" s="91" t="s">
        <v>220</v>
      </c>
      <c r="D87" s="97" t="s">
        <v>107</v>
      </c>
      <c r="E87" s="93">
        <v>25</v>
      </c>
      <c r="F87" s="93" t="s">
        <v>39</v>
      </c>
      <c r="G87" s="94">
        <v>12</v>
      </c>
      <c r="H87" s="95">
        <f>VLOOKUP(C87,'СВОД на 2026г'!$B$2:$F$92,3,FALSE)</f>
        <v>45.891999999999996</v>
      </c>
      <c r="I87" s="95">
        <f t="shared" si="24"/>
        <v>550.70399999999995</v>
      </c>
      <c r="J87" s="89"/>
      <c r="K87" s="88"/>
    </row>
    <row r="88" ht="40.75" hidden="1">
      <c r="A88" s="89">
        <v>2026</v>
      </c>
      <c r="B88" s="90" t="s">
        <v>159</v>
      </c>
      <c r="C88" s="96" t="s">
        <v>154</v>
      </c>
      <c r="D88" s="92" t="s">
        <v>154</v>
      </c>
      <c r="E88" s="92" t="s">
        <v>154</v>
      </c>
      <c r="F88" s="93" t="s">
        <v>39</v>
      </c>
      <c r="G88" s="94">
        <v>2</v>
      </c>
      <c r="H88" s="95">
        <f>VLOOKUP(C88,'СВОД на 2026г'!$B$2:$F$92,3,FALSE)</f>
        <v>55174.699999999997</v>
      </c>
      <c r="I88" s="95">
        <f t="shared" si="24"/>
        <v>110349.39999999999</v>
      </c>
      <c r="J88" s="89"/>
      <c r="K88" s="88"/>
    </row>
    <row r="89" ht="27.199999999999999" hidden="1">
      <c r="A89" s="89">
        <v>2026</v>
      </c>
      <c r="B89" s="90" t="s">
        <v>159</v>
      </c>
      <c r="C89" s="100" t="s">
        <v>155</v>
      </c>
      <c r="D89" s="92" t="s">
        <v>155</v>
      </c>
      <c r="E89" s="92" t="s">
        <v>155</v>
      </c>
      <c r="F89" s="93" t="s">
        <v>156</v>
      </c>
      <c r="G89" s="94">
        <v>18.5</v>
      </c>
      <c r="H89" s="95">
        <f>VLOOKUP(C89,'СВОД на 2026г'!$B$2:$F$92,3,FALSE)</f>
        <v>2628.2046254200395</v>
      </c>
      <c r="I89" s="95">
        <f t="shared" si="24"/>
        <v>48621.785570270731</v>
      </c>
      <c r="J89" s="89"/>
      <c r="K89" s="88"/>
    </row>
    <row r="90" hidden="1">
      <c r="A90" s="89">
        <v>2026</v>
      </c>
      <c r="B90" s="90" t="s">
        <v>159</v>
      </c>
      <c r="C90" s="96" t="s">
        <v>157</v>
      </c>
      <c r="D90" s="92" t="s">
        <v>157</v>
      </c>
      <c r="E90" s="92" t="s">
        <v>157</v>
      </c>
      <c r="F90" s="93" t="s">
        <v>39</v>
      </c>
      <c r="G90" s="94">
        <v>1</v>
      </c>
      <c r="H90" s="95">
        <f>VLOOKUP(C90,'СВОД на 2026г'!$B$2:$F$92,3,FALSE)</f>
        <v>392793.79999999999</v>
      </c>
      <c r="I90" s="95">
        <f t="shared" si="24"/>
        <v>392793.79999999999</v>
      </c>
      <c r="J90" s="89"/>
      <c r="K90" s="88"/>
    </row>
    <row r="91" hidden="1">
      <c r="A91" s="89">
        <v>2026</v>
      </c>
      <c r="B91" s="90" t="s">
        <v>16</v>
      </c>
      <c r="C91" s="91" t="s">
        <v>221</v>
      </c>
      <c r="D91" s="92" t="s">
        <v>120</v>
      </c>
      <c r="E91" s="93">
        <v>219</v>
      </c>
      <c r="F91" s="93" t="s">
        <v>35</v>
      </c>
      <c r="G91" s="94">
        <f>538+480+20+110</f>
        <v>1148</v>
      </c>
      <c r="H91" s="95">
        <f>VLOOKUP(C91,'СВОД на 2026г'!$B$2:$F$92,3,FALSE)</f>
        <v>4969.0334819999998</v>
      </c>
      <c r="I91" s="95">
        <f t="shared" si="24"/>
        <v>5704450.4373359997</v>
      </c>
      <c r="J91" s="89"/>
      <c r="K91" s="88">
        <v>12300</v>
      </c>
      <c r="M91" s="102"/>
    </row>
    <row r="92" hidden="1">
      <c r="A92" s="89">
        <v>2026</v>
      </c>
      <c r="B92" s="90" t="s">
        <v>16</v>
      </c>
      <c r="C92" s="91" t="s">
        <v>121</v>
      </c>
      <c r="D92" s="92" t="s">
        <v>120</v>
      </c>
      <c r="E92" s="93">
        <v>133</v>
      </c>
      <c r="F92" s="93" t="s">
        <v>35</v>
      </c>
      <c r="G92" s="94">
        <v>8</v>
      </c>
      <c r="H92" s="95">
        <f>VLOOKUP(C92,'СВОД на 2026г'!$B$2:$F$92,3,FALSE)</f>
        <v>2470.1392989000001</v>
      </c>
      <c r="I92" s="95">
        <f t="shared" ref="I92:I149" si="25">G92*H92</f>
        <v>19761.114391200001</v>
      </c>
      <c r="J92" s="89"/>
      <c r="K92" s="88">
        <v>4503</v>
      </c>
      <c r="M92" s="102"/>
    </row>
    <row r="93" hidden="1">
      <c r="A93" s="89">
        <v>2026</v>
      </c>
      <c r="B93" s="90" t="s">
        <v>16</v>
      </c>
      <c r="C93" s="91" t="s">
        <v>222</v>
      </c>
      <c r="D93" s="92" t="s">
        <v>36</v>
      </c>
      <c r="E93" s="93">
        <v>219</v>
      </c>
      <c r="F93" s="93" t="s">
        <v>39</v>
      </c>
      <c r="G93" s="94">
        <v>16</v>
      </c>
      <c r="H93" s="95">
        <f>VLOOKUP(C93,'СВОД на 2026г'!$B$2:$F$92,3,FALSE)</f>
        <v>21065.70046</v>
      </c>
      <c r="I93" s="95">
        <f t="shared" si="25"/>
        <v>337051.20736</v>
      </c>
      <c r="J93" s="89"/>
      <c r="K93" s="88"/>
    </row>
    <row r="94" hidden="1">
      <c r="A94" s="89">
        <v>2026</v>
      </c>
      <c r="B94" s="90" t="s">
        <v>16</v>
      </c>
      <c r="C94" s="91" t="s">
        <v>223</v>
      </c>
      <c r="D94" s="92" t="s">
        <v>36</v>
      </c>
      <c r="E94" s="93">
        <v>219</v>
      </c>
      <c r="F94" s="93" t="s">
        <v>39</v>
      </c>
      <c r="G94" s="94">
        <f>4+12</f>
        <v>16</v>
      </c>
      <c r="H94" s="95">
        <f>VLOOKUP(C94,'СВОД на 2026г'!$B$2:$F$92,3,FALSE)</f>
        <v>17826.955999999998</v>
      </c>
      <c r="I94" s="95">
        <f t="shared" si="25"/>
        <v>285231.29599999997</v>
      </c>
      <c r="J94" s="89"/>
      <c r="K94" s="88"/>
      <c r="M94" s="102"/>
    </row>
    <row r="95" hidden="1">
      <c r="A95" s="89">
        <v>2026</v>
      </c>
      <c r="B95" s="90" t="s">
        <v>16</v>
      </c>
      <c r="C95" s="91" t="s">
        <v>224</v>
      </c>
      <c r="D95" s="92" t="s">
        <v>36</v>
      </c>
      <c r="E95" s="93">
        <v>219</v>
      </c>
      <c r="F95" s="93" t="s">
        <v>39</v>
      </c>
      <c r="G95" s="94">
        <f>2+2</f>
        <v>4</v>
      </c>
      <c r="H95" s="95">
        <f>VLOOKUP(C95,'СВОД на 2026г'!$B$2:$F$92,3,FALSE)</f>
        <v>3369.4723416666666</v>
      </c>
      <c r="I95" s="95">
        <f t="shared" si="25"/>
        <v>13477.889366666666</v>
      </c>
      <c r="J95" s="89"/>
      <c r="K95" s="88"/>
      <c r="M95" s="102"/>
    </row>
    <row r="96" hidden="1">
      <c r="A96" s="89">
        <v>2026</v>
      </c>
      <c r="B96" s="90" t="s">
        <v>16</v>
      </c>
      <c r="C96" s="91" t="s">
        <v>125</v>
      </c>
      <c r="D96" s="92" t="s">
        <v>36</v>
      </c>
      <c r="E96" s="93">
        <v>133</v>
      </c>
      <c r="F96" s="93" t="s">
        <v>39</v>
      </c>
      <c r="G96" s="94">
        <v>6</v>
      </c>
      <c r="H96" s="95">
        <f>VLOOKUP(C96,'СВОД на 2026г'!$B$2:$F$92,3,FALSE)</f>
        <v>10624.440232000001</v>
      </c>
      <c r="I96" s="95">
        <f t="shared" si="25"/>
        <v>63746.641392000005</v>
      </c>
      <c r="J96" s="89"/>
      <c r="K96" s="88"/>
      <c r="M96" s="102"/>
    </row>
    <row r="97" hidden="1">
      <c r="A97" s="89">
        <v>2026</v>
      </c>
      <c r="B97" s="90" t="s">
        <v>16</v>
      </c>
      <c r="C97" s="91" t="s">
        <v>225</v>
      </c>
      <c r="D97" s="92" t="s">
        <v>190</v>
      </c>
      <c r="E97" s="93" t="s">
        <v>226</v>
      </c>
      <c r="F97" s="93" t="s">
        <v>39</v>
      </c>
      <c r="G97" s="94">
        <v>1</v>
      </c>
      <c r="H97" s="95">
        <f>VLOOKUP(C97,'СВОД на 2026г'!$B$2:$F$92,3,FALSE)</f>
        <v>22346.274999999998</v>
      </c>
      <c r="I97" s="95">
        <f t="shared" si="25"/>
        <v>22346.274999999998</v>
      </c>
      <c r="J97" s="89"/>
      <c r="K97" s="88"/>
      <c r="M97" s="102"/>
    </row>
    <row r="98" hidden="1">
      <c r="A98" s="89">
        <v>2026</v>
      </c>
      <c r="B98" s="90" t="s">
        <v>16</v>
      </c>
      <c r="C98" s="91" t="s">
        <v>227</v>
      </c>
      <c r="D98" s="92" t="s">
        <v>190</v>
      </c>
      <c r="E98" s="93" t="s">
        <v>228</v>
      </c>
      <c r="F98" s="93" t="s">
        <v>39</v>
      </c>
      <c r="G98" s="94">
        <v>1</v>
      </c>
      <c r="H98" s="95">
        <f>VLOOKUP(C98,'СВОД на 2026г'!$B$2:$F$92,3,FALSE)</f>
        <v>23667.739311999998</v>
      </c>
      <c r="I98" s="95">
        <f t="shared" si="25"/>
        <v>23667.739311999998</v>
      </c>
      <c r="J98" s="89"/>
      <c r="K98" s="88"/>
      <c r="M98" s="102"/>
    </row>
    <row r="99" hidden="1">
      <c r="A99" s="89">
        <v>2026</v>
      </c>
      <c r="B99" s="90" t="s">
        <v>16</v>
      </c>
      <c r="C99" s="91" t="s">
        <v>229</v>
      </c>
      <c r="D99" s="92" t="s">
        <v>201</v>
      </c>
      <c r="E99" s="93" t="s">
        <v>226</v>
      </c>
      <c r="F99" s="93" t="s">
        <v>39</v>
      </c>
      <c r="G99" s="94">
        <v>1</v>
      </c>
      <c r="H99" s="95">
        <f>VLOOKUP(C99,'СВОД на 2026г'!$B$2:$F$92,3,FALSE)</f>
        <v>21068.599999999999</v>
      </c>
      <c r="I99" s="95">
        <f t="shared" si="25"/>
        <v>21068.599999999999</v>
      </c>
      <c r="J99" s="89"/>
      <c r="K99" s="88"/>
      <c r="M99" s="102"/>
    </row>
    <row r="100" hidden="1">
      <c r="A100" s="89">
        <v>2026</v>
      </c>
      <c r="B100" s="90" t="s">
        <v>16</v>
      </c>
      <c r="C100" s="91" t="s">
        <v>229</v>
      </c>
      <c r="D100" s="92" t="s">
        <v>201</v>
      </c>
      <c r="E100" s="93" t="s">
        <v>228</v>
      </c>
      <c r="F100" s="93" t="s">
        <v>39</v>
      </c>
      <c r="G100" s="94">
        <v>1</v>
      </c>
      <c r="H100" s="95">
        <f>VLOOKUP(C100,'СВОД на 2026г'!$B$2:$F$92,3,FALSE)</f>
        <v>21068.599999999999</v>
      </c>
      <c r="I100" s="95">
        <f t="shared" si="25"/>
        <v>21068.599999999999</v>
      </c>
      <c r="J100" s="89"/>
      <c r="K100" s="88"/>
      <c r="M100" s="102"/>
    </row>
    <row r="101" hidden="1">
      <c r="A101" s="89">
        <v>2026</v>
      </c>
      <c r="B101" s="90" t="s">
        <v>16</v>
      </c>
      <c r="C101" s="96" t="s">
        <v>230</v>
      </c>
      <c r="D101" s="97" t="s">
        <v>110</v>
      </c>
      <c r="E101" s="93">
        <v>200</v>
      </c>
      <c r="F101" s="93" t="s">
        <v>39</v>
      </c>
      <c r="G101" s="94">
        <v>2</v>
      </c>
      <c r="H101" s="95">
        <f>VLOOKUP(C101,'СВОД на 2026г'!$B$2:$F$92,3,FALSE)</f>
        <v>81290.717310039996</v>
      </c>
      <c r="I101" s="95">
        <f t="shared" si="25"/>
        <v>162581.43462007999</v>
      </c>
      <c r="J101" s="89"/>
      <c r="K101" s="88"/>
      <c r="M101" s="102"/>
    </row>
    <row r="102" hidden="1">
      <c r="A102" s="89">
        <v>2026</v>
      </c>
      <c r="B102" s="90" t="s">
        <v>16</v>
      </c>
      <c r="C102" s="98" t="s">
        <v>136</v>
      </c>
      <c r="D102" s="92" t="s">
        <v>107</v>
      </c>
      <c r="E102" s="99" t="s">
        <v>137</v>
      </c>
      <c r="F102" s="93" t="s">
        <v>138</v>
      </c>
      <c r="G102" s="94">
        <f>13+12</f>
        <v>25</v>
      </c>
      <c r="H102" s="95">
        <f>VLOOKUP(C102,'СВОД на 2026г'!$B$2:$F$92,3,FALSE)</f>
        <v>1121.1499040000001</v>
      </c>
      <c r="I102" s="95">
        <f t="shared" si="25"/>
        <v>28028.747600000002</v>
      </c>
      <c r="J102" s="89"/>
      <c r="K102" s="88"/>
      <c r="M102" s="102"/>
    </row>
    <row r="103" hidden="1">
      <c r="A103" s="89">
        <v>2026</v>
      </c>
      <c r="B103" s="90" t="s">
        <v>16</v>
      </c>
      <c r="C103" s="98" t="s">
        <v>139</v>
      </c>
      <c r="D103" s="92" t="s">
        <v>107</v>
      </c>
      <c r="E103" s="99" t="s">
        <v>140</v>
      </c>
      <c r="F103" s="93" t="s">
        <v>141</v>
      </c>
      <c r="G103" s="94">
        <f>3+3</f>
        <v>6</v>
      </c>
      <c r="H103" s="95">
        <f>VLOOKUP(C103,'СВОД на 2026г'!$B$2:$F$92,3,FALSE)</f>
        <v>2990.4687400000003</v>
      </c>
      <c r="I103" s="95">
        <f t="shared" si="25"/>
        <v>17942.812440000002</v>
      </c>
      <c r="J103" s="89"/>
      <c r="K103" s="88"/>
      <c r="M103" s="102"/>
    </row>
    <row r="104" hidden="1">
      <c r="A104" s="89">
        <v>2026</v>
      </c>
      <c r="B104" s="90" t="s">
        <v>16</v>
      </c>
      <c r="C104" s="96" t="s">
        <v>142</v>
      </c>
      <c r="D104" s="92" t="s">
        <v>107</v>
      </c>
      <c r="E104" s="99" t="s">
        <v>75</v>
      </c>
      <c r="F104" s="93" t="s">
        <v>76</v>
      </c>
      <c r="G104" s="94">
        <f>80+107</f>
        <v>187</v>
      </c>
      <c r="H104" s="95">
        <f>VLOOKUP(C104,'СВОД на 2026г'!$B$2:$F$92,3,FALSE)</f>
        <v>349.44344498000004</v>
      </c>
      <c r="I104" s="95">
        <f t="shared" si="25"/>
        <v>65345.924211260004</v>
      </c>
      <c r="J104" s="89"/>
      <c r="K104" s="88"/>
      <c r="M104" s="102"/>
    </row>
    <row r="105" hidden="1">
      <c r="A105" s="89">
        <v>2026</v>
      </c>
      <c r="B105" s="90" t="s">
        <v>16</v>
      </c>
      <c r="C105" s="96" t="s">
        <v>143</v>
      </c>
      <c r="D105" s="92" t="s">
        <v>107</v>
      </c>
      <c r="E105" s="99" t="s">
        <v>75</v>
      </c>
      <c r="F105" s="93" t="s">
        <v>76</v>
      </c>
      <c r="G105" s="94">
        <f>60+86</f>
        <v>146</v>
      </c>
      <c r="H105" s="95">
        <f>VLOOKUP(C105,'СВОД на 2026г'!$B$2:$F$92,3,FALSE)</f>
        <v>350.35934500000002</v>
      </c>
      <c r="I105" s="95">
        <f t="shared" si="25"/>
        <v>51152.464370000002</v>
      </c>
      <c r="J105" s="89"/>
      <c r="K105" s="88"/>
      <c r="M105" s="102"/>
    </row>
    <row r="106" hidden="1">
      <c r="A106" s="89">
        <v>2026</v>
      </c>
      <c r="B106" s="90" t="s">
        <v>16</v>
      </c>
      <c r="C106" s="96" t="s">
        <v>144</v>
      </c>
      <c r="D106" s="92" t="s">
        <v>107</v>
      </c>
      <c r="E106" s="93" t="s">
        <v>145</v>
      </c>
      <c r="F106" s="93" t="s">
        <v>39</v>
      </c>
      <c r="G106" s="94">
        <f>350+472+59</f>
        <v>881</v>
      </c>
      <c r="H106" s="95">
        <f>VLOOKUP(C106,'СВОД на 2026г'!$B$2:$F$92,3,FALSE)</f>
        <v>32.17788504</v>
      </c>
      <c r="I106" s="95">
        <f t="shared" si="25"/>
        <v>28348.716720240001</v>
      </c>
      <c r="J106" s="89"/>
      <c r="K106" s="88"/>
      <c r="M106" s="102"/>
    </row>
    <row r="107" hidden="1">
      <c r="A107" s="89">
        <v>2026</v>
      </c>
      <c r="B107" s="90" t="s">
        <v>16</v>
      </c>
      <c r="C107" s="98" t="s">
        <v>146</v>
      </c>
      <c r="D107" s="92" t="s">
        <v>107</v>
      </c>
      <c r="E107" s="93" t="s">
        <v>147</v>
      </c>
      <c r="F107" s="93" t="s">
        <v>39</v>
      </c>
      <c r="G107" s="94">
        <f>100+121+36</f>
        <v>257</v>
      </c>
      <c r="H107" s="95">
        <f>VLOOKUP(C107,'СВОД на 2026г'!$B$2:$F$92,3,FALSE)</f>
        <v>105.75886496000001</v>
      </c>
      <c r="I107" s="95">
        <f t="shared" si="25"/>
        <v>27180.028294720003</v>
      </c>
      <c r="J107" s="89"/>
      <c r="K107" s="88"/>
      <c r="M107" s="102"/>
    </row>
    <row r="108" hidden="1">
      <c r="A108" s="89">
        <v>2026</v>
      </c>
      <c r="B108" s="90" t="s">
        <v>16</v>
      </c>
      <c r="C108" s="96" t="s">
        <v>148</v>
      </c>
      <c r="D108" s="92" t="s">
        <v>107</v>
      </c>
      <c r="E108" s="93" t="s">
        <v>149</v>
      </c>
      <c r="F108" s="93" t="s">
        <v>39</v>
      </c>
      <c r="G108" s="94">
        <f>22+30+11</f>
        <v>63</v>
      </c>
      <c r="H108" s="95">
        <f>VLOOKUP(C108,'СВОД на 2026г'!$B$2:$F$92,3,FALSE)</f>
        <v>62.579999999999998</v>
      </c>
      <c r="I108" s="95">
        <f t="shared" si="25"/>
        <v>3942.54</v>
      </c>
      <c r="J108" s="89"/>
      <c r="K108" s="88"/>
      <c r="M108" s="102"/>
    </row>
    <row r="109" hidden="1">
      <c r="A109" s="89">
        <v>2026</v>
      </c>
      <c r="B109" s="90" t="s">
        <v>16</v>
      </c>
      <c r="C109" s="91" t="s">
        <v>231</v>
      </c>
      <c r="D109" s="92" t="s">
        <v>151</v>
      </c>
      <c r="E109" s="93">
        <v>219</v>
      </c>
      <c r="F109" s="93" t="s">
        <v>39</v>
      </c>
      <c r="G109" s="94">
        <f>96+52+9</f>
        <v>157</v>
      </c>
      <c r="H109" s="95">
        <f>VLOOKUP(C109,'СВОД на 2026г'!$B$2:$F$92,3,FALSE)</f>
        <v>2346.0282439999996</v>
      </c>
      <c r="I109" s="95">
        <f t="shared" si="25"/>
        <v>368326.43430799997</v>
      </c>
      <c r="J109" s="89"/>
      <c r="K109" s="88"/>
      <c r="M109" s="102"/>
    </row>
    <row r="110" hidden="1">
      <c r="A110" s="89">
        <v>2026</v>
      </c>
      <c r="B110" s="90" t="s">
        <v>16</v>
      </c>
      <c r="C110" s="91" t="s">
        <v>152</v>
      </c>
      <c r="D110" s="92" t="s">
        <v>151</v>
      </c>
      <c r="E110" s="93">
        <v>133</v>
      </c>
      <c r="F110" s="93" t="s">
        <v>39</v>
      </c>
      <c r="G110" s="94">
        <v>14</v>
      </c>
      <c r="H110" s="95">
        <f>VLOOKUP(C110,'СВОД на 2026г'!$B$2:$F$92,3,FALSE)</f>
        <v>1095.1499999999999</v>
      </c>
      <c r="I110" s="95">
        <f t="shared" si="25"/>
        <v>15332.099999999999</v>
      </c>
      <c r="J110" s="89"/>
      <c r="K110" s="88"/>
      <c r="M110" s="102"/>
    </row>
    <row r="111" ht="40.75" hidden="1">
      <c r="A111" s="89">
        <v>2026</v>
      </c>
      <c r="B111" s="90" t="s">
        <v>16</v>
      </c>
      <c r="C111" s="96" t="s">
        <v>154</v>
      </c>
      <c r="D111" s="92" t="s">
        <v>154</v>
      </c>
      <c r="E111" s="92" t="s">
        <v>154</v>
      </c>
      <c r="F111" s="93" t="s">
        <v>39</v>
      </c>
      <c r="G111" s="94">
        <f>1+1</f>
        <v>2</v>
      </c>
      <c r="H111" s="95">
        <f>VLOOKUP(C111,'СВОД на 2026г'!$B$2:$F$92,3,FALSE)</f>
        <v>55174.699999999997</v>
      </c>
      <c r="I111" s="95">
        <f t="shared" si="25"/>
        <v>110349.39999999999</v>
      </c>
      <c r="J111" s="89"/>
      <c r="K111" s="88"/>
      <c r="M111" s="102"/>
    </row>
    <row r="112" ht="27.199999999999999" hidden="1">
      <c r="A112" s="89">
        <v>2026</v>
      </c>
      <c r="B112" s="90" t="s">
        <v>16</v>
      </c>
      <c r="C112" s="100" t="s">
        <v>155</v>
      </c>
      <c r="D112" s="92" t="s">
        <v>155</v>
      </c>
      <c r="E112" s="92" t="s">
        <v>155</v>
      </c>
      <c r="F112" s="93" t="s">
        <v>156</v>
      </c>
      <c r="G112" s="94">
        <f>16+104</f>
        <v>120</v>
      </c>
      <c r="H112" s="95">
        <f>VLOOKUP(C112,'СВОД на 2026г'!$B$2:$F$92,3,FALSE)</f>
        <v>2628.2046254200395</v>
      </c>
      <c r="I112" s="95">
        <f t="shared" si="25"/>
        <v>315384.55505040474</v>
      </c>
      <c r="J112" s="89"/>
      <c r="K112" s="88"/>
      <c r="M112" s="102"/>
    </row>
    <row r="113" hidden="1">
      <c r="A113" s="89">
        <v>2026</v>
      </c>
      <c r="B113" s="90" t="s">
        <v>16</v>
      </c>
      <c r="C113" s="96" t="s">
        <v>157</v>
      </c>
      <c r="D113" s="92" t="s">
        <v>157</v>
      </c>
      <c r="E113" s="92" t="s">
        <v>157</v>
      </c>
      <c r="F113" s="93" t="s">
        <v>39</v>
      </c>
      <c r="G113" s="94">
        <v>1</v>
      </c>
      <c r="H113" s="95">
        <f>VLOOKUP(C113,'СВОД на 2026г'!$B$2:$F$92,3,FALSE)</f>
        <v>392793.79999999999</v>
      </c>
      <c r="I113" s="95">
        <f t="shared" si="25"/>
        <v>392793.79999999999</v>
      </c>
      <c r="J113" s="89"/>
      <c r="K113" s="88"/>
      <c r="M113" s="102"/>
    </row>
    <row r="114" hidden="1">
      <c r="A114" s="89">
        <v>2026</v>
      </c>
      <c r="B114" s="90" t="s">
        <v>13</v>
      </c>
      <c r="C114" s="91" t="s">
        <v>232</v>
      </c>
      <c r="D114" s="92" t="s">
        <v>120</v>
      </c>
      <c r="E114" s="93">
        <v>89</v>
      </c>
      <c r="F114" s="93" t="s">
        <v>35</v>
      </c>
      <c r="G114" s="94">
        <f>96+126</f>
        <v>222</v>
      </c>
      <c r="H114" s="95">
        <f>VLOOKUP(C114,'СВОД на 2026г'!$B$2:$F$92,3,FALSE)</f>
        <v>2247.817278</v>
      </c>
      <c r="I114" s="95">
        <f t="shared" si="25"/>
        <v>499015.43571599998</v>
      </c>
      <c r="J114" s="89"/>
      <c r="K114" s="88"/>
    </row>
    <row r="115" hidden="1">
      <c r="A115" s="89">
        <v>2026</v>
      </c>
      <c r="B115" s="90" t="s">
        <v>13</v>
      </c>
      <c r="C115" s="91" t="s">
        <v>162</v>
      </c>
      <c r="D115" s="92" t="s">
        <v>120</v>
      </c>
      <c r="E115" s="93">
        <v>76</v>
      </c>
      <c r="F115" s="93" t="s">
        <v>35</v>
      </c>
      <c r="G115" s="94">
        <v>20</v>
      </c>
      <c r="H115" s="95">
        <f>VLOOKUP(C115,'СВОД на 2026г'!$B$2:$F$92,3,FALSE)</f>
        <v>2044.7743820000001</v>
      </c>
      <c r="I115" s="95">
        <f t="shared" ref="I115:I118" si="26">G115*H115</f>
        <v>40895.487639999999</v>
      </c>
      <c r="J115" s="89"/>
      <c r="K115" s="88"/>
    </row>
    <row r="116" hidden="1">
      <c r="A116" s="89">
        <v>2026</v>
      </c>
      <c r="B116" s="90" t="s">
        <v>13</v>
      </c>
      <c r="C116" s="91" t="s">
        <v>164</v>
      </c>
      <c r="D116" s="92" t="s">
        <v>120</v>
      </c>
      <c r="E116" s="93">
        <v>57</v>
      </c>
      <c r="F116" s="93" t="s">
        <v>35</v>
      </c>
      <c r="G116" s="94">
        <f>106+64</f>
        <v>170</v>
      </c>
      <c r="H116" s="95">
        <f>VLOOKUP(C116,'СВОД на 2026г'!$B$2:$F$92,3,FALSE)</f>
        <v>1826.2825699999999</v>
      </c>
      <c r="I116" s="95">
        <f t="shared" si="26"/>
        <v>310468.03689999995</v>
      </c>
      <c r="J116" s="89"/>
      <c r="K116" s="88"/>
    </row>
    <row r="117" hidden="1">
      <c r="A117" s="89">
        <v>2026</v>
      </c>
      <c r="B117" s="90" t="s">
        <v>13</v>
      </c>
      <c r="C117" s="91" t="s">
        <v>233</v>
      </c>
      <c r="D117" s="92" t="s">
        <v>36</v>
      </c>
      <c r="E117" s="93">
        <v>89</v>
      </c>
      <c r="F117" s="93" t="s">
        <v>39</v>
      </c>
      <c r="G117" s="94">
        <v>2</v>
      </c>
      <c r="H117" s="95">
        <f>VLOOKUP(C117,'СВОД на 2026г'!$B$2:$F$92,3,FALSE)</f>
        <v>8207.7883719999991</v>
      </c>
      <c r="I117" s="95">
        <f t="shared" si="26"/>
        <v>16415.576743999998</v>
      </c>
      <c r="J117" s="89"/>
      <c r="K117" s="88"/>
    </row>
    <row r="118" hidden="1">
      <c r="A118" s="89">
        <v>2026</v>
      </c>
      <c r="B118" s="90" t="s">
        <v>13</v>
      </c>
      <c r="C118" s="91" t="s">
        <v>234</v>
      </c>
      <c r="D118" s="92" t="s">
        <v>36</v>
      </c>
      <c r="E118" s="93">
        <v>89</v>
      </c>
      <c r="F118" s="93" t="s">
        <v>39</v>
      </c>
      <c r="G118" s="94">
        <f t="shared" ref="G118:G119" si="27">4+4</f>
        <v>8</v>
      </c>
      <c r="H118" s="95">
        <f>VLOOKUP(C118,'СВОД на 2026г'!$B$2:$F$92,3,FALSE)</f>
        <v>8485.8688600000005</v>
      </c>
      <c r="I118" s="95">
        <f t="shared" si="26"/>
        <v>67886.950880000004</v>
      </c>
      <c r="J118" s="89"/>
      <c r="K118" s="88"/>
    </row>
    <row r="119" hidden="1">
      <c r="A119" s="89">
        <v>2026</v>
      </c>
      <c r="B119" s="90" t="s">
        <v>13</v>
      </c>
      <c r="C119" s="91" t="s">
        <v>169</v>
      </c>
      <c r="D119" s="92" t="s">
        <v>36</v>
      </c>
      <c r="E119" s="93">
        <v>76</v>
      </c>
      <c r="F119" s="93" t="s">
        <v>39</v>
      </c>
      <c r="G119" s="94">
        <f t="shared" si="27"/>
        <v>8</v>
      </c>
      <c r="H119" s="95">
        <f>VLOOKUP(C119,'СВОД на 2026г'!$B$2:$F$92,3,FALSE)</f>
        <v>6893.5270179999998</v>
      </c>
      <c r="I119" s="95">
        <f t="shared" si="25"/>
        <v>55148.216143999998</v>
      </c>
      <c r="J119" s="89"/>
      <c r="K119" s="88"/>
    </row>
    <row r="120" hidden="1">
      <c r="A120" s="89">
        <v>2026</v>
      </c>
      <c r="B120" s="90" t="s">
        <v>13</v>
      </c>
      <c r="C120" s="91" t="s">
        <v>172</v>
      </c>
      <c r="D120" s="92" t="s">
        <v>36</v>
      </c>
      <c r="E120" s="93">
        <v>57</v>
      </c>
      <c r="F120" s="93" t="s">
        <v>39</v>
      </c>
      <c r="G120" s="94">
        <v>4</v>
      </c>
      <c r="H120" s="95">
        <f>VLOOKUP(C120,'СВОД на 2026г'!$B$2:$F$92,3,FALSE)</f>
        <v>4393.116</v>
      </c>
      <c r="I120" s="95">
        <f t="shared" si="25"/>
        <v>17572.464</v>
      </c>
      <c r="J120" s="89"/>
      <c r="K120" s="88"/>
    </row>
    <row r="121" hidden="1">
      <c r="A121" s="89">
        <v>2026</v>
      </c>
      <c r="B121" s="90" t="s">
        <v>13</v>
      </c>
      <c r="C121" s="91" t="s">
        <v>235</v>
      </c>
      <c r="D121" s="92" t="s">
        <v>129</v>
      </c>
      <c r="E121" s="93" t="s">
        <v>236</v>
      </c>
      <c r="F121" s="93" t="s">
        <v>39</v>
      </c>
      <c r="G121" s="94">
        <v>2</v>
      </c>
      <c r="H121" s="95">
        <f>VLOOKUP(C121,'СВОД на 2026г'!$B$2:$F$92,3,FALSE)</f>
        <v>3015.3129999999996</v>
      </c>
      <c r="I121" s="95">
        <f t="shared" si="25"/>
        <v>6030.6259999999993</v>
      </c>
      <c r="J121" s="89"/>
      <c r="K121" s="88"/>
    </row>
    <row r="122" hidden="1">
      <c r="A122" s="89">
        <v>2026</v>
      </c>
      <c r="B122" s="90" t="s">
        <v>13</v>
      </c>
      <c r="C122" s="91" t="s">
        <v>237</v>
      </c>
      <c r="D122" s="92" t="s">
        <v>190</v>
      </c>
      <c r="E122" s="93" t="s">
        <v>236</v>
      </c>
      <c r="F122" s="93" t="s">
        <v>39</v>
      </c>
      <c r="G122" s="94">
        <v>2</v>
      </c>
      <c r="H122" s="95">
        <f>VLOOKUP(C122,'СВОД на 2026г'!$B$2:$F$92,3,FALSE)</f>
        <v>9460.0100000000002</v>
      </c>
      <c r="I122" s="95">
        <f t="shared" si="25"/>
        <v>18920.02</v>
      </c>
      <c r="J122" s="89"/>
      <c r="K122" s="88"/>
    </row>
    <row r="123" hidden="1">
      <c r="A123" s="89">
        <v>2026</v>
      </c>
      <c r="B123" s="90" t="s">
        <v>13</v>
      </c>
      <c r="C123" s="96" t="s">
        <v>238</v>
      </c>
      <c r="D123" s="97" t="s">
        <v>110</v>
      </c>
      <c r="E123" s="93">
        <v>80</v>
      </c>
      <c r="F123" s="93" t="s">
        <v>39</v>
      </c>
      <c r="G123" s="94">
        <v>2</v>
      </c>
      <c r="H123" s="95">
        <f>VLOOKUP(C123,'СВОД на 2026г'!$B$2:$F$92,3,FALSE)</f>
        <v>6409.4573050199997</v>
      </c>
      <c r="I123" s="95">
        <f t="shared" si="25"/>
        <v>12818.914610039999</v>
      </c>
      <c r="J123" s="89"/>
      <c r="K123" s="88"/>
    </row>
    <row r="124" hidden="1">
      <c r="A124" s="89">
        <v>2026</v>
      </c>
      <c r="B124" s="90" t="s">
        <v>13</v>
      </c>
      <c r="C124" s="98" t="s">
        <v>136</v>
      </c>
      <c r="D124" s="92" t="s">
        <v>107</v>
      </c>
      <c r="E124" s="99" t="s">
        <v>137</v>
      </c>
      <c r="F124" s="93" t="s">
        <v>138</v>
      </c>
      <c r="G124" s="94">
        <v>5</v>
      </c>
      <c r="H124" s="95">
        <f>VLOOKUP(C124,'СВОД на 2026г'!$B$2:$F$92,3,FALSE)</f>
        <v>1121.1499040000001</v>
      </c>
      <c r="I124" s="95">
        <f t="shared" si="25"/>
        <v>5605.7495200000003</v>
      </c>
      <c r="J124" s="89"/>
      <c r="K124" s="88"/>
    </row>
    <row r="125" hidden="1">
      <c r="A125" s="89">
        <v>2026</v>
      </c>
      <c r="B125" s="90" t="s">
        <v>13</v>
      </c>
      <c r="C125" s="98" t="s">
        <v>139</v>
      </c>
      <c r="D125" s="92" t="s">
        <v>107</v>
      </c>
      <c r="E125" s="99" t="s">
        <v>140</v>
      </c>
      <c r="F125" s="93" t="s">
        <v>141</v>
      </c>
      <c r="G125" s="94">
        <v>3</v>
      </c>
      <c r="H125" s="95">
        <f>VLOOKUP(C125,'СВОД на 2026г'!$B$2:$F$92,3,FALSE)</f>
        <v>2990.4687400000003</v>
      </c>
      <c r="I125" s="95">
        <f t="shared" si="25"/>
        <v>8971.4062200000008</v>
      </c>
      <c r="J125" s="89"/>
      <c r="K125" s="88"/>
    </row>
    <row r="126" hidden="1">
      <c r="A126" s="89">
        <v>2026</v>
      </c>
      <c r="B126" s="90" t="s">
        <v>13</v>
      </c>
      <c r="C126" s="96" t="s">
        <v>142</v>
      </c>
      <c r="D126" s="92" t="s">
        <v>107</v>
      </c>
      <c r="E126" s="99" t="s">
        <v>75</v>
      </c>
      <c r="F126" s="93" t="s">
        <v>76</v>
      </c>
      <c r="G126" s="94">
        <v>40</v>
      </c>
      <c r="H126" s="95">
        <f>VLOOKUP(C126,'СВОД на 2026г'!$B$2:$F$92,3,FALSE)</f>
        <v>349.44344498000004</v>
      </c>
      <c r="I126" s="95">
        <f t="shared" si="25"/>
        <v>13977.737799200002</v>
      </c>
      <c r="J126" s="89"/>
      <c r="K126" s="88"/>
    </row>
    <row r="127" hidden="1">
      <c r="A127" s="89">
        <v>2026</v>
      </c>
      <c r="B127" s="90" t="s">
        <v>13</v>
      </c>
      <c r="C127" s="96" t="s">
        <v>143</v>
      </c>
      <c r="D127" s="92" t="s">
        <v>107</v>
      </c>
      <c r="E127" s="99" t="s">
        <v>75</v>
      </c>
      <c r="F127" s="93" t="s">
        <v>76</v>
      </c>
      <c r="G127" s="94">
        <v>60</v>
      </c>
      <c r="H127" s="95">
        <f>VLOOKUP(C127,'СВОД на 2026г'!$B$2:$F$92,3,FALSE)</f>
        <v>350.35934500000002</v>
      </c>
      <c r="I127" s="95">
        <f t="shared" si="25"/>
        <v>21021.560700000002</v>
      </c>
      <c r="J127" s="89"/>
      <c r="K127" s="88"/>
    </row>
    <row r="128" hidden="1">
      <c r="A128" s="89">
        <v>2026</v>
      </c>
      <c r="B128" s="90" t="s">
        <v>13</v>
      </c>
      <c r="C128" s="96" t="s">
        <v>144</v>
      </c>
      <c r="D128" s="92" t="s">
        <v>107</v>
      </c>
      <c r="E128" s="93" t="s">
        <v>145</v>
      </c>
      <c r="F128" s="93" t="s">
        <v>39</v>
      </c>
      <c r="G128" s="94">
        <v>150</v>
      </c>
      <c r="H128" s="95">
        <f>VLOOKUP(C128,'СВОД на 2026г'!$B$2:$F$92,3,FALSE)</f>
        <v>32.17788504</v>
      </c>
      <c r="I128" s="95">
        <f t="shared" si="25"/>
        <v>4826.6827560000002</v>
      </c>
      <c r="J128" s="89"/>
      <c r="K128" s="88"/>
    </row>
    <row r="129" hidden="1">
      <c r="A129" s="89">
        <v>2026</v>
      </c>
      <c r="B129" s="90" t="s">
        <v>13</v>
      </c>
      <c r="C129" s="98" t="s">
        <v>146</v>
      </c>
      <c r="D129" s="92" t="s">
        <v>107</v>
      </c>
      <c r="E129" s="93" t="s">
        <v>147</v>
      </c>
      <c r="F129" s="93" t="s">
        <v>39</v>
      </c>
      <c r="G129" s="94">
        <v>50</v>
      </c>
      <c r="H129" s="95">
        <f>VLOOKUP(C129,'СВОД на 2026г'!$B$2:$F$92,3,FALSE)</f>
        <v>105.75886496000001</v>
      </c>
      <c r="I129" s="95">
        <f t="shared" si="25"/>
        <v>5287.9432480000005</v>
      </c>
      <c r="J129" s="89"/>
      <c r="K129" s="88"/>
    </row>
    <row r="130" hidden="1">
      <c r="A130" s="89">
        <v>2026</v>
      </c>
      <c r="B130" s="90" t="s">
        <v>13</v>
      </c>
      <c r="C130" s="96" t="s">
        <v>148</v>
      </c>
      <c r="D130" s="92" t="s">
        <v>107</v>
      </c>
      <c r="E130" s="93" t="s">
        <v>149</v>
      </c>
      <c r="F130" s="93" t="s">
        <v>39</v>
      </c>
      <c r="G130" s="94">
        <v>12</v>
      </c>
      <c r="H130" s="95">
        <f>VLOOKUP(C130,'СВОД на 2026г'!$B$2:$F$92,3,FALSE)</f>
        <v>62.579999999999998</v>
      </c>
      <c r="I130" s="95">
        <f t="shared" si="25"/>
        <v>750.96000000000004</v>
      </c>
      <c r="J130" s="89"/>
      <c r="K130" s="88"/>
    </row>
    <row r="131" hidden="1">
      <c r="A131" s="89">
        <v>2026</v>
      </c>
      <c r="B131" s="90" t="s">
        <v>13</v>
      </c>
      <c r="C131" s="91" t="s">
        <v>239</v>
      </c>
      <c r="D131" s="92" t="s">
        <v>151</v>
      </c>
      <c r="E131" s="93">
        <v>89</v>
      </c>
      <c r="F131" s="93" t="s">
        <v>39</v>
      </c>
      <c r="G131" s="94">
        <v>28</v>
      </c>
      <c r="H131" s="95">
        <f>VLOOKUP(C131,'СВОД на 2026г'!$B$2:$F$92,3,FALSE)</f>
        <v>727.49249999999995</v>
      </c>
      <c r="I131" s="95">
        <f>G131*H131</f>
        <v>20369.789999999997</v>
      </c>
      <c r="J131" s="89"/>
      <c r="K131" s="88">
        <v>1366.4300000000001</v>
      </c>
    </row>
    <row r="132" hidden="1">
      <c r="A132" s="89">
        <v>2026</v>
      </c>
      <c r="B132" s="90" t="s">
        <v>13</v>
      </c>
      <c r="C132" s="91" t="s">
        <v>215</v>
      </c>
      <c r="D132" s="92" t="s">
        <v>151</v>
      </c>
      <c r="E132" s="93">
        <v>76</v>
      </c>
      <c r="F132" s="93" t="s">
        <v>39</v>
      </c>
      <c r="G132" s="94">
        <v>14</v>
      </c>
      <c r="H132" s="95">
        <f>VLOOKUP(C132,'СВОД на 2026г'!$B$2:$F$92,3,FALSE)</f>
        <v>1595.6523240000001</v>
      </c>
      <c r="I132" s="95">
        <f t="shared" si="25"/>
        <v>22339.132536000001</v>
      </c>
      <c r="J132" s="89"/>
      <c r="K132" s="88">
        <v>1366.4300000000001</v>
      </c>
    </row>
    <row r="133" hidden="1">
      <c r="A133" s="89">
        <v>2026</v>
      </c>
      <c r="B133" s="90" t="s">
        <v>13</v>
      </c>
      <c r="C133" s="91" t="s">
        <v>217</v>
      </c>
      <c r="D133" s="92" t="s">
        <v>151</v>
      </c>
      <c r="E133" s="93">
        <v>57</v>
      </c>
      <c r="F133" s="93" t="s">
        <v>39</v>
      </c>
      <c r="G133" s="94">
        <v>22</v>
      </c>
      <c r="H133" s="95">
        <f>VLOOKUP(C133,'СВОД на 2026г'!$B$2:$F$92,3,FALSE)</f>
        <v>1554.823046</v>
      </c>
      <c r="I133" s="95">
        <f t="shared" si="25"/>
        <v>34206.107012</v>
      </c>
      <c r="J133" s="89"/>
      <c r="K133" s="88">
        <v>1409</v>
      </c>
    </row>
    <row r="134" hidden="1">
      <c r="A134" s="89">
        <v>2026</v>
      </c>
      <c r="B134" s="90" t="s">
        <v>13</v>
      </c>
      <c r="C134" s="103" t="s">
        <v>157</v>
      </c>
      <c r="D134" s="92" t="s">
        <v>157</v>
      </c>
      <c r="E134" s="93" t="s">
        <v>157</v>
      </c>
      <c r="F134" s="93" t="s">
        <v>39</v>
      </c>
      <c r="G134" s="94">
        <v>1</v>
      </c>
      <c r="H134" s="95">
        <f>VLOOKUP(C134,'СВОД на 2026г'!$B$2:$F$92,3,FALSE)</f>
        <v>392793.79999999999</v>
      </c>
      <c r="I134" s="95">
        <f t="shared" si="25"/>
        <v>392793.79999999999</v>
      </c>
      <c r="J134" s="89"/>
      <c r="K134" s="88"/>
    </row>
    <row r="135" hidden="1">
      <c r="A135" s="89">
        <v>2026</v>
      </c>
      <c r="B135" s="90" t="s">
        <v>14</v>
      </c>
      <c r="C135" s="91" t="s">
        <v>162</v>
      </c>
      <c r="D135" s="92" t="s">
        <v>120</v>
      </c>
      <c r="E135" s="93">
        <v>76</v>
      </c>
      <c r="F135" s="93" t="s">
        <v>35</v>
      </c>
      <c r="G135" s="94">
        <f>70+158</f>
        <v>228</v>
      </c>
      <c r="H135" s="95">
        <f>VLOOKUP(C135,'СВОД на 2026г'!$B$2:$F$92,3,FALSE)</f>
        <v>2044.7743820000001</v>
      </c>
      <c r="I135" s="95">
        <f t="shared" si="25"/>
        <v>466208.55909600004</v>
      </c>
      <c r="J135" s="89"/>
      <c r="K135" s="88">
        <v>5017.9300000000003</v>
      </c>
    </row>
    <row r="136" hidden="1">
      <c r="A136" s="89">
        <v>2026</v>
      </c>
      <c r="B136" s="90" t="s">
        <v>14</v>
      </c>
      <c r="C136" s="91" t="s">
        <v>164</v>
      </c>
      <c r="D136" s="92" t="s">
        <v>120</v>
      </c>
      <c r="E136" s="93">
        <v>57</v>
      </c>
      <c r="F136" s="93" t="s">
        <v>35</v>
      </c>
      <c r="G136" s="94">
        <v>12</v>
      </c>
      <c r="H136" s="95">
        <f>VLOOKUP(C136,'СВОД на 2026г'!$B$2:$F$92,3,FALSE)</f>
        <v>1826.2825699999999</v>
      </c>
      <c r="I136" s="95">
        <f t="shared" si="25"/>
        <v>21915.39084</v>
      </c>
      <c r="J136" s="89"/>
      <c r="K136" s="88"/>
    </row>
    <row r="137" hidden="1">
      <c r="A137" s="89">
        <v>2026</v>
      </c>
      <c r="B137" s="90" t="s">
        <v>14</v>
      </c>
      <c r="C137" s="91" t="s">
        <v>169</v>
      </c>
      <c r="D137" s="92" t="s">
        <v>36</v>
      </c>
      <c r="E137" s="93">
        <v>76</v>
      </c>
      <c r="F137" s="93" t="s">
        <v>39</v>
      </c>
      <c r="G137" s="94">
        <v>6</v>
      </c>
      <c r="H137" s="95">
        <f>VLOOKUP(C137,'СВОД на 2026г'!$B$2:$F$92,3,FALSE)</f>
        <v>6893.5270179999998</v>
      </c>
      <c r="I137" s="95">
        <f t="shared" si="25"/>
        <v>41361.162107999997</v>
      </c>
      <c r="J137" s="89"/>
      <c r="K137" s="88"/>
    </row>
    <row r="138" hidden="1">
      <c r="A138" s="89">
        <v>2026</v>
      </c>
      <c r="B138" s="90" t="s">
        <v>14</v>
      </c>
      <c r="C138" s="91" t="s">
        <v>172</v>
      </c>
      <c r="D138" s="92" t="s">
        <v>36</v>
      </c>
      <c r="E138" s="93">
        <v>57</v>
      </c>
      <c r="F138" s="93" t="s">
        <v>39</v>
      </c>
      <c r="G138" s="94">
        <v>10</v>
      </c>
      <c r="H138" s="95">
        <f>VLOOKUP(C138,'СВОД на 2026г'!$B$2:$F$92,3,FALSE)</f>
        <v>4393.116</v>
      </c>
      <c r="I138" s="95">
        <f t="shared" si="25"/>
        <v>43931.160000000003</v>
      </c>
      <c r="J138" s="89"/>
      <c r="K138" s="88">
        <v>19090</v>
      </c>
    </row>
    <row r="139" hidden="1">
      <c r="A139" s="89">
        <v>2026</v>
      </c>
      <c r="B139" s="90" t="s">
        <v>14</v>
      </c>
      <c r="C139" s="91" t="s">
        <v>235</v>
      </c>
      <c r="D139" s="92" t="s">
        <v>129</v>
      </c>
      <c r="E139" s="93" t="s">
        <v>236</v>
      </c>
      <c r="F139" s="93" t="s">
        <v>39</v>
      </c>
      <c r="G139" s="94">
        <v>2</v>
      </c>
      <c r="H139" s="95">
        <f>VLOOKUP(C139,'СВОД на 2026г'!$B$2:$F$92,3,FALSE)</f>
        <v>3015.3129999999996</v>
      </c>
      <c r="I139" s="95">
        <f t="shared" si="25"/>
        <v>6030.6259999999993</v>
      </c>
      <c r="J139" s="89"/>
      <c r="K139" s="88">
        <v>8837</v>
      </c>
    </row>
    <row r="140" hidden="1">
      <c r="A140" s="89">
        <v>2026</v>
      </c>
      <c r="B140" s="90" t="s">
        <v>14</v>
      </c>
      <c r="C140" s="91" t="s">
        <v>181</v>
      </c>
      <c r="D140" s="92" t="s">
        <v>129</v>
      </c>
      <c r="E140" s="93" t="s">
        <v>182</v>
      </c>
      <c r="F140" s="93" t="s">
        <v>39</v>
      </c>
      <c r="G140" s="94">
        <v>2</v>
      </c>
      <c r="H140" s="95">
        <f>VLOOKUP(C140,'СВОД на 2026г'!$B$2:$F$92,3,FALSE)</f>
        <v>2068.2689999999998</v>
      </c>
      <c r="I140" s="95">
        <f t="shared" si="25"/>
        <v>4136.5379999999996</v>
      </c>
      <c r="J140" s="89"/>
      <c r="K140" s="88"/>
    </row>
    <row r="141" hidden="1">
      <c r="A141" s="89">
        <v>2026</v>
      </c>
      <c r="B141" s="90" t="s">
        <v>14</v>
      </c>
      <c r="C141" s="96" t="s">
        <v>205</v>
      </c>
      <c r="D141" s="97" t="s">
        <v>110</v>
      </c>
      <c r="E141" s="93">
        <v>65</v>
      </c>
      <c r="F141" s="93" t="s">
        <v>39</v>
      </c>
      <c r="G141" s="94">
        <v>2</v>
      </c>
      <c r="H141" s="95">
        <f>VLOOKUP(C141,'СВОД на 2026г'!$B$2:$F$92,3,FALSE)</f>
        <v>5158.8344500000003</v>
      </c>
      <c r="I141" s="95">
        <f t="shared" si="25"/>
        <v>10317.668900000001</v>
      </c>
      <c r="J141" s="89"/>
      <c r="K141" s="88"/>
    </row>
    <row r="142" hidden="1">
      <c r="A142" s="89">
        <v>2026</v>
      </c>
      <c r="B142" s="90" t="s">
        <v>14</v>
      </c>
      <c r="C142" s="98" t="s">
        <v>136</v>
      </c>
      <c r="D142" s="92" t="s">
        <v>107</v>
      </c>
      <c r="E142" s="99" t="s">
        <v>137</v>
      </c>
      <c r="F142" s="93" t="s">
        <v>138</v>
      </c>
      <c r="G142" s="94">
        <v>4</v>
      </c>
      <c r="H142" s="95">
        <f>VLOOKUP(C142,'СВОД на 2026г'!$B$2:$F$92,3,FALSE)</f>
        <v>1121.1499040000001</v>
      </c>
      <c r="I142" s="95">
        <f t="shared" si="25"/>
        <v>4484.5996160000004</v>
      </c>
      <c r="J142" s="89"/>
      <c r="K142" s="88"/>
    </row>
    <row r="143" hidden="1">
      <c r="A143" s="89">
        <v>2026</v>
      </c>
      <c r="B143" s="90" t="s">
        <v>14</v>
      </c>
      <c r="C143" s="98" t="s">
        <v>139</v>
      </c>
      <c r="D143" s="92" t="s">
        <v>107</v>
      </c>
      <c r="E143" s="99" t="s">
        <v>140</v>
      </c>
      <c r="F143" s="93" t="s">
        <v>141</v>
      </c>
      <c r="G143" s="94">
        <v>3</v>
      </c>
      <c r="H143" s="95">
        <f>VLOOKUP(C143,'СВОД на 2026г'!$B$2:$F$92,3,FALSE)</f>
        <v>2990.4687400000003</v>
      </c>
      <c r="I143" s="95">
        <f t="shared" si="25"/>
        <v>8971.4062200000008</v>
      </c>
      <c r="J143" s="89"/>
      <c r="K143" s="88"/>
    </row>
    <row r="144" hidden="1">
      <c r="A144" s="89">
        <v>2026</v>
      </c>
      <c r="B144" s="90" t="s">
        <v>14</v>
      </c>
      <c r="C144" s="96" t="s">
        <v>142</v>
      </c>
      <c r="D144" s="92" t="s">
        <v>107</v>
      </c>
      <c r="E144" s="99" t="s">
        <v>75</v>
      </c>
      <c r="F144" s="93" t="s">
        <v>76</v>
      </c>
      <c r="G144" s="94">
        <v>45</v>
      </c>
      <c r="H144" s="95">
        <f>VLOOKUP(C144,'СВОД на 2026г'!$B$2:$F$92,3,FALSE)</f>
        <v>349.44344498000004</v>
      </c>
      <c r="I144" s="95">
        <f t="shared" si="25"/>
        <v>15724.955024100002</v>
      </c>
      <c r="J144" s="89"/>
      <c r="K144" s="88"/>
    </row>
    <row r="145" hidden="1">
      <c r="A145" s="89">
        <v>2026</v>
      </c>
      <c r="B145" s="90" t="s">
        <v>14</v>
      </c>
      <c r="C145" s="96" t="s">
        <v>143</v>
      </c>
      <c r="D145" s="92" t="s">
        <v>107</v>
      </c>
      <c r="E145" s="99" t="s">
        <v>75</v>
      </c>
      <c r="F145" s="93" t="s">
        <v>76</v>
      </c>
      <c r="G145" s="94">
        <v>60</v>
      </c>
      <c r="H145" s="95">
        <f>VLOOKUP(C145,'СВОД на 2026г'!$B$2:$F$92,3,FALSE)</f>
        <v>350.35934500000002</v>
      </c>
      <c r="I145" s="95">
        <f t="shared" si="25"/>
        <v>21021.560700000002</v>
      </c>
      <c r="J145" s="89"/>
      <c r="K145" s="88"/>
    </row>
    <row r="146" hidden="1">
      <c r="A146" s="89">
        <v>2026</v>
      </c>
      <c r="B146" s="90" t="s">
        <v>14</v>
      </c>
      <c r="C146" s="96" t="s">
        <v>144</v>
      </c>
      <c r="D146" s="92" t="s">
        <v>107</v>
      </c>
      <c r="E146" s="93" t="s">
        <v>145</v>
      </c>
      <c r="F146" s="93" t="s">
        <v>39</v>
      </c>
      <c r="G146" s="94">
        <v>200</v>
      </c>
      <c r="H146" s="95">
        <f>VLOOKUP(C146,'СВОД на 2026г'!$B$2:$F$92,3,FALSE)</f>
        <v>32.17788504</v>
      </c>
      <c r="I146" s="95">
        <f t="shared" si="25"/>
        <v>6435.5770080000002</v>
      </c>
      <c r="J146" s="89"/>
      <c r="K146" s="88"/>
    </row>
    <row r="147" hidden="1">
      <c r="A147" s="89">
        <v>2026</v>
      </c>
      <c r="B147" s="90" t="s">
        <v>14</v>
      </c>
      <c r="C147" s="98" t="s">
        <v>146</v>
      </c>
      <c r="D147" s="92" t="s">
        <v>107</v>
      </c>
      <c r="E147" s="93" t="s">
        <v>147</v>
      </c>
      <c r="F147" s="93" t="s">
        <v>39</v>
      </c>
      <c r="G147" s="94">
        <v>100</v>
      </c>
      <c r="H147" s="95">
        <f>VLOOKUP(C147,'СВОД на 2026г'!$B$2:$F$92,3,FALSE)</f>
        <v>105.75886496000001</v>
      </c>
      <c r="I147" s="95">
        <f t="shared" si="25"/>
        <v>10575.886496000001</v>
      </c>
      <c r="J147" s="89"/>
      <c r="K147" s="88"/>
    </row>
    <row r="148" hidden="1">
      <c r="A148" s="89">
        <v>2026</v>
      </c>
      <c r="B148" s="90" t="s">
        <v>14</v>
      </c>
      <c r="C148" s="96" t="s">
        <v>148</v>
      </c>
      <c r="D148" s="92" t="s">
        <v>107</v>
      </c>
      <c r="E148" s="93" t="s">
        <v>149</v>
      </c>
      <c r="F148" s="93" t="s">
        <v>39</v>
      </c>
      <c r="G148" s="94">
        <v>28</v>
      </c>
      <c r="H148" s="95">
        <f>VLOOKUP(C148,'СВОД на 2026г'!$B$2:$F$92,3,FALSE)</f>
        <v>62.579999999999998</v>
      </c>
      <c r="I148" s="95">
        <f t="shared" si="25"/>
        <v>1752.24</v>
      </c>
      <c r="J148" s="89"/>
      <c r="K148" s="88"/>
    </row>
    <row r="149" hidden="1">
      <c r="A149" s="89">
        <v>2026</v>
      </c>
      <c r="B149" s="90" t="s">
        <v>14</v>
      </c>
      <c r="C149" s="91" t="s">
        <v>215</v>
      </c>
      <c r="D149" s="92" t="s">
        <v>151</v>
      </c>
      <c r="E149" s="93">
        <v>76</v>
      </c>
      <c r="F149" s="93" t="s">
        <v>39</v>
      </c>
      <c r="G149" s="94">
        <v>28</v>
      </c>
      <c r="H149" s="95">
        <f>VLOOKUP(C149,'СВОД на 2026г'!$B$2:$F$92,3,FALSE)</f>
        <v>1595.6523240000001</v>
      </c>
      <c r="I149" s="95">
        <f t="shared" si="25"/>
        <v>44678.265072000002</v>
      </c>
      <c r="J149" s="89"/>
      <c r="K149" s="88"/>
    </row>
    <row r="150" hidden="1">
      <c r="A150" s="89">
        <v>2026</v>
      </c>
      <c r="B150" s="90" t="s">
        <v>14</v>
      </c>
      <c r="C150" s="91" t="s">
        <v>217</v>
      </c>
      <c r="D150" s="92" t="s">
        <v>151</v>
      </c>
      <c r="E150" s="93">
        <v>57</v>
      </c>
      <c r="F150" s="93" t="s">
        <v>39</v>
      </c>
      <c r="G150" s="94">
        <v>12</v>
      </c>
      <c r="H150" s="95">
        <f>VLOOKUP(C150,'СВОД на 2026г'!$B$2:$F$92,3,FALSE)</f>
        <v>1554.823046</v>
      </c>
      <c r="I150" s="95">
        <f t="shared" ref="I150:I152" si="28">G150*H150</f>
        <v>18657.876552000002</v>
      </c>
      <c r="J150" s="89"/>
      <c r="K150" s="88"/>
    </row>
    <row r="151" ht="27.199999999999999" hidden="1">
      <c r="A151" s="89">
        <v>2026</v>
      </c>
      <c r="B151" s="90" t="s">
        <v>14</v>
      </c>
      <c r="C151" s="100" t="s">
        <v>155</v>
      </c>
      <c r="D151" s="92" t="s">
        <v>155</v>
      </c>
      <c r="E151" s="92" t="s">
        <v>155</v>
      </c>
      <c r="F151" s="93" t="s">
        <v>156</v>
      </c>
      <c r="G151" s="94">
        <v>9</v>
      </c>
      <c r="H151" s="95">
        <f>VLOOKUP(C151,'СВОД на 2026г'!$B$2:$F$92,3,FALSE)</f>
        <v>2628.2046254200395</v>
      </c>
      <c r="I151" s="95">
        <f t="shared" si="28"/>
        <v>23653.841628780356</v>
      </c>
      <c r="J151" s="89"/>
      <c r="K151" s="88"/>
    </row>
    <row r="152" hidden="1">
      <c r="A152" s="89">
        <v>2026</v>
      </c>
      <c r="B152" s="90" t="s">
        <v>14</v>
      </c>
      <c r="C152" s="103" t="s">
        <v>157</v>
      </c>
      <c r="D152" s="92" t="s">
        <v>157</v>
      </c>
      <c r="E152" s="93" t="s">
        <v>157</v>
      </c>
      <c r="F152" s="93" t="s">
        <v>39</v>
      </c>
      <c r="G152" s="94">
        <v>1</v>
      </c>
      <c r="H152" s="95">
        <f>VLOOKUP(C152,'СВОД на 2026г'!$B$2:$F$92,3,FALSE)</f>
        <v>392793.79999999999</v>
      </c>
      <c r="I152" s="95">
        <f t="shared" si="28"/>
        <v>392793.79999999999</v>
      </c>
      <c r="J152" s="89"/>
      <c r="K152" s="88"/>
    </row>
    <row r="153" hidden="1">
      <c r="I153" s="84">
        <f>SUM(I2:I152)</f>
        <v>14756683.771955699</v>
      </c>
    </row>
  </sheetData>
  <autoFilter ref="A1:I153">
    <filterColumn colId="1">
      <filters>
        <filter val="от врезки в теплотрассу ТК21-ТК20 до врезки в ул. Победы, 33"/>
      </filters>
    </filterColumn>
    <filterColumn colId="2">
      <filters>
        <filter val="Труба ППР армированная стекловолокном Ø25х4,2"/>
        <filter val="Труба ППР армированная стекловолокном Ø32х5,4"/>
        <filter val="Труба Ст 20 159x5 - 1 - ППУ ОЦ"/>
        <filter val="Труба Ст 20 57х3,5 - 1 - ППУ ОЦ"/>
        <filter val="Труба Ст 20 57х3,5 - 1 - ППУ ПЭ"/>
        <filter val="Труба Ст 20 76x4 - 1 - ППУ ОЦ"/>
        <filter val="Труба Ст 20 76х4 - 1 - ППУ ПЭ"/>
      </filters>
    </filterColumn>
  </autoFilter>
  <printOptions headings="0" gridLines="1"/>
  <pageMargins left="0.74803149606299213" right="0.74803149606299213" top="0.98425196850393704" bottom="0.98425196850393704" header="0.51181102362204722" footer="0.51181102362204722"/>
  <pageSetup paperSize="9" scale="100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5" tint="0.79998168889431442"/>
    <outlinePr applyStyles="0" summaryBelow="1" summaryRight="1" showOutlineSymbols="1"/>
    <pageSetUpPr autoPageBreaks="1" fitToPage="0"/>
  </sheetPr>
  <sheetViews>
    <sheetView topLeftCell="A38" zoomScale="70" workbookViewId="0">
      <selection activeCell="G2" activeCellId="0" sqref="G2:I57"/>
    </sheetView>
  </sheetViews>
  <sheetFormatPr defaultRowHeight="12.75"/>
  <cols>
    <col bestFit="1" customWidth="1" min="1" max="1" style="104" width="7.75"/>
    <col customWidth="1" min="2" max="2" style="104" width="64.375"/>
    <col customWidth="1" min="3" max="3" style="105" width="9.25"/>
    <col customWidth="1" min="4" max="10" style="105" width="20.625"/>
    <col customWidth="1" min="11" max="11" width="14.375"/>
  </cols>
  <sheetData>
    <row r="1" s="106" customFormat="1" ht="49.5">
      <c r="A1" s="107" t="s">
        <v>240</v>
      </c>
      <c r="B1" s="107" t="s">
        <v>113</v>
      </c>
      <c r="C1" s="107" t="s">
        <v>24</v>
      </c>
      <c r="D1" s="107" t="s">
        <v>241</v>
      </c>
      <c r="E1" s="107" t="s">
        <v>242</v>
      </c>
      <c r="F1" s="107" t="s">
        <v>116</v>
      </c>
      <c r="G1" s="107" t="s">
        <v>243</v>
      </c>
      <c r="H1" s="107" t="s">
        <v>244</v>
      </c>
      <c r="I1" s="107" t="s">
        <v>245</v>
      </c>
      <c r="J1" s="107" t="s">
        <v>246</v>
      </c>
    </row>
    <row r="2" ht="49.5">
      <c r="A2" s="108">
        <v>1</v>
      </c>
      <c r="B2" s="109" t="s">
        <v>247</v>
      </c>
      <c r="C2" s="110" t="s">
        <v>39</v>
      </c>
      <c r="D2" s="111">
        <v>685.46666666666681</v>
      </c>
      <c r="E2" s="112">
        <v>38</v>
      </c>
      <c r="F2" s="113">
        <v>26047.733333333337</v>
      </c>
      <c r="G2" s="111">
        <v>42</v>
      </c>
      <c r="H2" s="114" t="s">
        <v>248</v>
      </c>
      <c r="I2" s="111">
        <v>0</v>
      </c>
      <c r="J2" s="115">
        <f t="shared" ref="J2:J33" si="29">I2*D2</f>
        <v>0</v>
      </c>
      <c r="K2" s="116"/>
    </row>
    <row r="3" ht="49.5">
      <c r="A3" s="108">
        <v>2</v>
      </c>
      <c r="B3" s="109" t="s">
        <v>249</v>
      </c>
      <c r="C3" s="110" t="s">
        <v>39</v>
      </c>
      <c r="D3" s="111">
        <v>951.35000000000002</v>
      </c>
      <c r="E3" s="112">
        <v>14</v>
      </c>
      <c r="F3" s="113">
        <v>13318.9</v>
      </c>
      <c r="G3" s="111">
        <v>30</v>
      </c>
      <c r="H3" s="112" t="s">
        <v>250</v>
      </c>
      <c r="I3" s="111">
        <v>0</v>
      </c>
      <c r="J3" s="115">
        <f t="shared" si="29"/>
        <v>0</v>
      </c>
      <c r="K3" s="116"/>
    </row>
    <row r="4" ht="49.5">
      <c r="A4" s="108">
        <v>3</v>
      </c>
      <c r="B4" s="109" t="s">
        <v>251</v>
      </c>
      <c r="C4" s="110" t="s">
        <v>39</v>
      </c>
      <c r="D4" s="111">
        <v>1506.9666666666669</v>
      </c>
      <c r="E4" s="112">
        <v>136</v>
      </c>
      <c r="F4" s="113">
        <v>204947.4666666667</v>
      </c>
      <c r="G4" s="111">
        <v>24</v>
      </c>
      <c r="H4" s="114" t="s">
        <v>252</v>
      </c>
      <c r="I4" s="111">
        <f t="shared" ref="I4:I9" si="30">E4-G4</f>
        <v>112</v>
      </c>
      <c r="J4" s="115">
        <f t="shared" si="29"/>
        <v>168780.26666666669</v>
      </c>
      <c r="K4" s="116"/>
    </row>
    <row r="5" ht="49.5">
      <c r="A5" s="108">
        <v>4</v>
      </c>
      <c r="B5" s="109" t="s">
        <v>253</v>
      </c>
      <c r="C5" s="110" t="s">
        <v>39</v>
      </c>
      <c r="D5" s="111">
        <v>507.91666666666669</v>
      </c>
      <c r="E5" s="112">
        <v>32</v>
      </c>
      <c r="F5" s="113">
        <v>16253.333333333334</v>
      </c>
      <c r="G5" s="111">
        <v>0</v>
      </c>
      <c r="H5" s="111"/>
      <c r="I5" s="111">
        <f t="shared" si="30"/>
        <v>32</v>
      </c>
      <c r="J5" s="115">
        <f t="shared" si="29"/>
        <v>16253.333333333334</v>
      </c>
    </row>
    <row r="6" ht="49.5">
      <c r="A6" s="108">
        <v>5</v>
      </c>
      <c r="B6" s="109" t="s">
        <v>254</v>
      </c>
      <c r="C6" s="110" t="s">
        <v>39</v>
      </c>
      <c r="D6" s="111">
        <v>507.91666666666669</v>
      </c>
      <c r="E6" s="112">
        <v>178</v>
      </c>
      <c r="F6" s="113">
        <v>90409.166666666672</v>
      </c>
      <c r="G6" s="111">
        <v>12</v>
      </c>
      <c r="H6" s="114" t="s">
        <v>255</v>
      </c>
      <c r="I6" s="111">
        <f t="shared" si="30"/>
        <v>166</v>
      </c>
      <c r="J6" s="115">
        <f t="shared" si="29"/>
        <v>84314.166666666672</v>
      </c>
      <c r="K6" s="116"/>
    </row>
    <row r="7" ht="49.5">
      <c r="A7" s="108">
        <v>6</v>
      </c>
      <c r="B7" s="109" t="s">
        <v>256</v>
      </c>
      <c r="C7" s="110" t="s">
        <v>39</v>
      </c>
      <c r="D7" s="111">
        <v>570.63333333333344</v>
      </c>
      <c r="E7" s="112">
        <v>56</v>
      </c>
      <c r="F7" s="113">
        <v>31955.466666666674</v>
      </c>
      <c r="G7" s="111">
        <v>0</v>
      </c>
      <c r="H7" s="111"/>
      <c r="I7" s="111">
        <f t="shared" si="30"/>
        <v>56</v>
      </c>
      <c r="J7" s="115">
        <f t="shared" si="29"/>
        <v>31955.466666666674</v>
      </c>
    </row>
    <row r="8" ht="49.5">
      <c r="A8" s="108">
        <v>7</v>
      </c>
      <c r="B8" s="109" t="s">
        <v>257</v>
      </c>
      <c r="C8" s="110" t="s">
        <v>39</v>
      </c>
      <c r="D8" s="111">
        <v>619.21666666666681</v>
      </c>
      <c r="E8" s="112">
        <v>16</v>
      </c>
      <c r="F8" s="113">
        <v>9907.466666666669</v>
      </c>
      <c r="G8" s="111">
        <v>80</v>
      </c>
      <c r="H8" s="114" t="s">
        <v>258</v>
      </c>
      <c r="I8" s="111">
        <v>0</v>
      </c>
      <c r="J8" s="115">
        <f t="shared" si="29"/>
        <v>0</v>
      </c>
      <c r="K8" s="116"/>
    </row>
    <row r="9" ht="49.5">
      <c r="A9" s="108">
        <v>8</v>
      </c>
      <c r="B9" s="109" t="s">
        <v>259</v>
      </c>
      <c r="C9" s="110" t="s">
        <v>39</v>
      </c>
      <c r="D9" s="111">
        <v>1217.2333333333336</v>
      </c>
      <c r="E9" s="112">
        <v>30</v>
      </c>
      <c r="F9" s="113">
        <v>36517.000000000007</v>
      </c>
      <c r="G9" s="111">
        <v>4</v>
      </c>
      <c r="H9" s="114" t="s">
        <v>260</v>
      </c>
      <c r="I9" s="111">
        <f t="shared" si="30"/>
        <v>26</v>
      </c>
      <c r="J9" s="115">
        <f t="shared" si="29"/>
        <v>31648.066666666673</v>
      </c>
      <c r="K9" s="116"/>
    </row>
    <row r="10" ht="49.5">
      <c r="A10" s="108">
        <v>9</v>
      </c>
      <c r="B10" s="109" t="s">
        <v>261</v>
      </c>
      <c r="C10" s="110" t="s">
        <v>39</v>
      </c>
      <c r="D10" s="111">
        <v>1913.3000000000002</v>
      </c>
      <c r="E10" s="112">
        <v>22</v>
      </c>
      <c r="F10" s="113">
        <v>42092.600000000006</v>
      </c>
      <c r="G10" s="111">
        <v>4</v>
      </c>
      <c r="H10" s="114" t="s">
        <v>262</v>
      </c>
      <c r="I10" s="111">
        <f>E10-G10</f>
        <v>18</v>
      </c>
      <c r="J10" s="115">
        <f t="shared" si="29"/>
        <v>34439.400000000001</v>
      </c>
      <c r="K10" s="116"/>
    </row>
    <row r="11" ht="49.5">
      <c r="A11" s="108">
        <v>10</v>
      </c>
      <c r="B11" s="109" t="s">
        <v>263</v>
      </c>
      <c r="C11" s="110" t="s">
        <v>39</v>
      </c>
      <c r="D11" s="111">
        <v>914.25</v>
      </c>
      <c r="E11" s="112">
        <v>24</v>
      </c>
      <c r="F11" s="113">
        <v>21942</v>
      </c>
      <c r="G11" s="111">
        <v>82</v>
      </c>
      <c r="H11" s="114" t="s">
        <v>264</v>
      </c>
      <c r="I11" s="111">
        <v>0</v>
      </c>
      <c r="J11" s="115">
        <f t="shared" si="29"/>
        <v>0</v>
      </c>
      <c r="K11" s="116"/>
    </row>
    <row r="12" ht="49.5">
      <c r="A12" s="108">
        <v>11</v>
      </c>
      <c r="B12" s="109" t="s">
        <v>265</v>
      </c>
      <c r="C12" s="110" t="s">
        <v>39</v>
      </c>
      <c r="D12" s="111">
        <v>1040.5666666666668</v>
      </c>
      <c r="E12" s="112">
        <v>90</v>
      </c>
      <c r="F12" s="113">
        <v>93651.000000000015</v>
      </c>
      <c r="G12" s="111">
        <v>0</v>
      </c>
      <c r="H12" s="111"/>
      <c r="I12" s="111">
        <f t="shared" ref="I12:I57" si="31">E12-G12</f>
        <v>90</v>
      </c>
      <c r="J12" s="115">
        <f t="shared" si="29"/>
        <v>93651.000000000015</v>
      </c>
    </row>
    <row r="13" ht="49.5">
      <c r="A13" s="108">
        <v>12</v>
      </c>
      <c r="B13" s="109" t="s">
        <v>266</v>
      </c>
      <c r="C13" s="110" t="s">
        <v>39</v>
      </c>
      <c r="D13" s="111">
        <v>1040.5666666666668</v>
      </c>
      <c r="E13" s="112">
        <v>16</v>
      </c>
      <c r="F13" s="113">
        <v>16649.066666666669</v>
      </c>
      <c r="G13" s="111">
        <v>0</v>
      </c>
      <c r="H13" s="111"/>
      <c r="I13" s="111">
        <f t="shared" si="31"/>
        <v>16</v>
      </c>
      <c r="J13" s="115">
        <f t="shared" si="29"/>
        <v>16649.066666666669</v>
      </c>
    </row>
    <row r="14" ht="49.5">
      <c r="A14" s="108">
        <v>13</v>
      </c>
      <c r="B14" s="109" t="s">
        <v>267</v>
      </c>
      <c r="C14" s="110" t="s">
        <v>39</v>
      </c>
      <c r="D14" s="111">
        <v>1114.7666666666669</v>
      </c>
      <c r="E14" s="112">
        <v>14</v>
      </c>
      <c r="F14" s="113">
        <v>15606.733333333337</v>
      </c>
      <c r="G14" s="111">
        <v>34</v>
      </c>
      <c r="H14" s="114" t="s">
        <v>268</v>
      </c>
      <c r="I14" s="111">
        <v>0</v>
      </c>
      <c r="J14" s="115">
        <f t="shared" si="29"/>
        <v>0</v>
      </c>
      <c r="K14" s="116"/>
    </row>
    <row r="15" ht="16.5">
      <c r="A15" s="108">
        <v>14</v>
      </c>
      <c r="B15" s="117" t="s">
        <v>136</v>
      </c>
      <c r="C15" s="110" t="s">
        <v>72</v>
      </c>
      <c r="D15" s="111">
        <v>233.20000000000002</v>
      </c>
      <c r="E15" s="112">
        <v>26</v>
      </c>
      <c r="F15" s="113">
        <v>6063.2000000000007</v>
      </c>
      <c r="G15" s="111">
        <v>0</v>
      </c>
      <c r="H15" s="111"/>
      <c r="I15" s="111">
        <f t="shared" si="31"/>
        <v>26</v>
      </c>
      <c r="J15" s="115">
        <f t="shared" si="29"/>
        <v>6063.2000000000007</v>
      </c>
    </row>
    <row r="16" ht="16.5">
      <c r="A16" s="108">
        <v>15</v>
      </c>
      <c r="B16" s="117" t="s">
        <v>269</v>
      </c>
      <c r="C16" s="110" t="s">
        <v>39</v>
      </c>
      <c r="D16" s="111">
        <v>178.08000000000001</v>
      </c>
      <c r="E16" s="112">
        <v>544</v>
      </c>
      <c r="F16" s="113">
        <v>96875.520000000004</v>
      </c>
      <c r="G16" s="111">
        <v>0</v>
      </c>
      <c r="H16" s="111"/>
      <c r="I16" s="111">
        <f t="shared" si="31"/>
        <v>544</v>
      </c>
      <c r="J16" s="115">
        <f t="shared" si="29"/>
        <v>96875.520000000004</v>
      </c>
    </row>
    <row r="17" ht="16.5">
      <c r="A17" s="108">
        <v>16</v>
      </c>
      <c r="B17" s="109" t="s">
        <v>82</v>
      </c>
      <c r="C17" s="110" t="s">
        <v>83</v>
      </c>
      <c r="D17" s="111">
        <v>307.40000000000003</v>
      </c>
      <c r="E17" s="112">
        <v>32</v>
      </c>
      <c r="F17" s="113">
        <v>9836.8000000000011</v>
      </c>
      <c r="G17" s="111">
        <v>0</v>
      </c>
      <c r="H17" s="111"/>
      <c r="I17" s="111">
        <f t="shared" si="31"/>
        <v>32</v>
      </c>
      <c r="J17" s="115">
        <f t="shared" si="29"/>
        <v>9836.8000000000011</v>
      </c>
    </row>
    <row r="18" ht="33">
      <c r="A18" s="108">
        <v>17</v>
      </c>
      <c r="B18" s="109" t="s">
        <v>270</v>
      </c>
      <c r="C18" s="110" t="s">
        <v>39</v>
      </c>
      <c r="D18" s="111">
        <v>2650</v>
      </c>
      <c r="E18" s="112">
        <v>28</v>
      </c>
      <c r="F18" s="113">
        <v>74200</v>
      </c>
      <c r="G18" s="111">
        <v>13</v>
      </c>
      <c r="H18" s="114" t="s">
        <v>271</v>
      </c>
      <c r="I18" s="111">
        <f t="shared" si="31"/>
        <v>15</v>
      </c>
      <c r="J18" s="115">
        <f t="shared" si="29"/>
        <v>39750</v>
      </c>
    </row>
    <row r="19" ht="33">
      <c r="A19" s="108">
        <v>18</v>
      </c>
      <c r="B19" s="109" t="s">
        <v>272</v>
      </c>
      <c r="C19" s="110" t="s">
        <v>39</v>
      </c>
      <c r="D19" s="111">
        <v>2650</v>
      </c>
      <c r="E19" s="112">
        <v>34</v>
      </c>
      <c r="F19" s="113">
        <v>90100</v>
      </c>
      <c r="G19" s="111">
        <v>0</v>
      </c>
      <c r="H19" s="111"/>
      <c r="I19" s="111">
        <f t="shared" si="31"/>
        <v>34</v>
      </c>
      <c r="J19" s="115">
        <f t="shared" si="29"/>
        <v>90100</v>
      </c>
    </row>
    <row r="20" ht="33">
      <c r="A20" s="108">
        <v>19</v>
      </c>
      <c r="B20" s="109" t="s">
        <v>273</v>
      </c>
      <c r="C20" s="110" t="s">
        <v>39</v>
      </c>
      <c r="D20" s="111">
        <v>4063.3333333333335</v>
      </c>
      <c r="E20" s="112">
        <v>4</v>
      </c>
      <c r="F20" s="113">
        <v>16253.333333333334</v>
      </c>
      <c r="G20" s="111">
        <v>0</v>
      </c>
      <c r="H20" s="111"/>
      <c r="I20" s="111">
        <f t="shared" si="31"/>
        <v>4</v>
      </c>
      <c r="J20" s="115">
        <f t="shared" si="29"/>
        <v>16253.333333333334</v>
      </c>
    </row>
    <row r="21" ht="16.5">
      <c r="A21" s="108">
        <v>20</v>
      </c>
      <c r="B21" s="117" t="s">
        <v>274</v>
      </c>
      <c r="C21" s="110" t="s">
        <v>39</v>
      </c>
      <c r="D21" s="111">
        <v>8391.6666666666679</v>
      </c>
      <c r="E21" s="112">
        <v>4</v>
      </c>
      <c r="F21" s="113">
        <v>33566.666666666672</v>
      </c>
      <c r="G21" s="111">
        <v>0</v>
      </c>
      <c r="H21" s="111"/>
      <c r="I21" s="111">
        <f t="shared" si="31"/>
        <v>4</v>
      </c>
      <c r="J21" s="115">
        <f t="shared" si="29"/>
        <v>33566.666666666672</v>
      </c>
    </row>
    <row r="22" ht="33">
      <c r="A22" s="108">
        <v>21</v>
      </c>
      <c r="B22" s="109" t="s">
        <v>275</v>
      </c>
      <c r="C22" s="110" t="s">
        <v>39</v>
      </c>
      <c r="D22" s="111">
        <v>8391.6666666666679</v>
      </c>
      <c r="E22" s="112">
        <v>56</v>
      </c>
      <c r="F22" s="113">
        <v>469933.33333333343</v>
      </c>
      <c r="G22" s="111">
        <v>0</v>
      </c>
      <c r="H22" s="114"/>
      <c r="I22" s="111">
        <f t="shared" si="31"/>
        <v>56</v>
      </c>
      <c r="J22" s="115">
        <f t="shared" si="29"/>
        <v>469933.33333333337</v>
      </c>
    </row>
    <row r="23" ht="16.5">
      <c r="A23" s="108">
        <v>22</v>
      </c>
      <c r="B23" s="117" t="s">
        <v>276</v>
      </c>
      <c r="C23" s="110" t="s">
        <v>39</v>
      </c>
      <c r="D23" s="111">
        <v>1457.5</v>
      </c>
      <c r="E23" s="112">
        <v>4</v>
      </c>
      <c r="F23" s="113">
        <v>5830</v>
      </c>
      <c r="G23" s="111">
        <v>0</v>
      </c>
      <c r="H23" s="111"/>
      <c r="I23" s="111">
        <f t="shared" si="31"/>
        <v>4</v>
      </c>
      <c r="J23" s="115">
        <f t="shared" si="29"/>
        <v>5830</v>
      </c>
    </row>
    <row r="24" ht="33">
      <c r="A24" s="108">
        <v>23</v>
      </c>
      <c r="B24" s="109" t="s">
        <v>277</v>
      </c>
      <c r="C24" s="110" t="s">
        <v>39</v>
      </c>
      <c r="D24" s="111">
        <v>1457.5</v>
      </c>
      <c r="E24" s="112">
        <v>10</v>
      </c>
      <c r="F24" s="113">
        <v>14575</v>
      </c>
      <c r="G24" s="111">
        <v>0</v>
      </c>
      <c r="H24" s="111"/>
      <c r="I24" s="111">
        <f t="shared" si="31"/>
        <v>10</v>
      </c>
      <c r="J24" s="115">
        <f t="shared" si="29"/>
        <v>14575</v>
      </c>
    </row>
    <row r="25" ht="33">
      <c r="A25" s="108">
        <v>24</v>
      </c>
      <c r="B25" s="109" t="s">
        <v>278</v>
      </c>
      <c r="C25" s="110" t="s">
        <v>39</v>
      </c>
      <c r="D25" s="111">
        <v>1545.8333333333335</v>
      </c>
      <c r="E25" s="112">
        <v>44</v>
      </c>
      <c r="F25" s="113">
        <v>68016.666666666686</v>
      </c>
      <c r="G25" s="111">
        <v>0</v>
      </c>
      <c r="H25" s="111"/>
      <c r="I25" s="111">
        <f t="shared" si="31"/>
        <v>44</v>
      </c>
      <c r="J25" s="115">
        <f t="shared" si="29"/>
        <v>68016.666666666672</v>
      </c>
    </row>
    <row r="26" ht="33">
      <c r="A26" s="108">
        <v>25</v>
      </c>
      <c r="B26" s="109" t="s">
        <v>279</v>
      </c>
      <c r="C26" s="110" t="s">
        <v>39</v>
      </c>
      <c r="D26" s="111">
        <v>1545.8333333333335</v>
      </c>
      <c r="E26" s="112">
        <v>70</v>
      </c>
      <c r="F26" s="113">
        <v>108208.33333333334</v>
      </c>
      <c r="G26" s="111">
        <v>0</v>
      </c>
      <c r="H26" s="111"/>
      <c r="I26" s="111">
        <f t="shared" si="31"/>
        <v>70</v>
      </c>
      <c r="J26" s="115">
        <f t="shared" si="29"/>
        <v>108208.33333333334</v>
      </c>
    </row>
    <row r="27" ht="33">
      <c r="A27" s="108">
        <v>26</v>
      </c>
      <c r="B27" s="109" t="s">
        <v>280</v>
      </c>
      <c r="C27" s="110" t="s">
        <v>39</v>
      </c>
      <c r="D27" s="111">
        <v>1766.6666666666667</v>
      </c>
      <c r="E27" s="112">
        <v>20</v>
      </c>
      <c r="F27" s="113">
        <v>35333.333333333336</v>
      </c>
      <c r="G27" s="111">
        <v>2</v>
      </c>
      <c r="H27" s="111" t="s">
        <v>281</v>
      </c>
      <c r="I27" s="111">
        <f t="shared" si="31"/>
        <v>18</v>
      </c>
      <c r="J27" s="115">
        <f t="shared" si="29"/>
        <v>31800</v>
      </c>
    </row>
    <row r="28" ht="33">
      <c r="A28" s="108">
        <v>27</v>
      </c>
      <c r="B28" s="109" t="s">
        <v>282</v>
      </c>
      <c r="C28" s="110" t="s">
        <v>39</v>
      </c>
      <c r="D28" s="111">
        <v>1766.6666666666667</v>
      </c>
      <c r="E28" s="112">
        <v>20</v>
      </c>
      <c r="F28" s="113">
        <v>35333.333333333336</v>
      </c>
      <c r="G28" s="111">
        <v>0</v>
      </c>
      <c r="H28" s="111"/>
      <c r="I28" s="111">
        <f t="shared" si="31"/>
        <v>20</v>
      </c>
      <c r="J28" s="115">
        <f t="shared" si="29"/>
        <v>35333.333333333336</v>
      </c>
    </row>
    <row r="29" ht="33">
      <c r="A29" s="108">
        <v>28</v>
      </c>
      <c r="B29" s="109" t="s">
        <v>283</v>
      </c>
      <c r="C29" s="110" t="s">
        <v>39</v>
      </c>
      <c r="D29" s="111">
        <v>2208.3333333333335</v>
      </c>
      <c r="E29" s="112">
        <v>6</v>
      </c>
      <c r="F29" s="113">
        <v>13250</v>
      </c>
      <c r="G29" s="111">
        <v>0</v>
      </c>
      <c r="H29" s="111"/>
      <c r="I29" s="111">
        <f t="shared" si="31"/>
        <v>6</v>
      </c>
      <c r="J29" s="115">
        <f t="shared" si="29"/>
        <v>13250</v>
      </c>
    </row>
    <row r="30" ht="33">
      <c r="A30" s="108">
        <v>29</v>
      </c>
      <c r="B30" s="109" t="s">
        <v>284</v>
      </c>
      <c r="C30" s="110" t="s">
        <v>39</v>
      </c>
      <c r="D30" s="111">
        <v>2208.3333333333335</v>
      </c>
      <c r="E30" s="112">
        <v>6</v>
      </c>
      <c r="F30" s="113">
        <v>13250</v>
      </c>
      <c r="G30" s="111">
        <v>0</v>
      </c>
      <c r="H30" s="111"/>
      <c r="I30" s="111">
        <f t="shared" si="31"/>
        <v>6</v>
      </c>
      <c r="J30" s="115">
        <f t="shared" si="29"/>
        <v>13250</v>
      </c>
    </row>
    <row r="31" ht="49.5">
      <c r="A31" s="108">
        <v>30</v>
      </c>
      <c r="B31" s="109" t="s">
        <v>285</v>
      </c>
      <c r="C31" s="110" t="s">
        <v>39</v>
      </c>
      <c r="D31" s="111">
        <v>2120</v>
      </c>
      <c r="E31" s="112">
        <v>6</v>
      </c>
      <c r="F31" s="113">
        <v>12720</v>
      </c>
      <c r="G31" s="111">
        <v>0</v>
      </c>
      <c r="H31" s="111"/>
      <c r="I31" s="111">
        <f t="shared" si="31"/>
        <v>6</v>
      </c>
      <c r="J31" s="115">
        <f t="shared" si="29"/>
        <v>12720</v>
      </c>
    </row>
    <row r="32" ht="49.5">
      <c r="A32" s="108">
        <v>31</v>
      </c>
      <c r="B32" s="109" t="s">
        <v>286</v>
      </c>
      <c r="C32" s="110" t="s">
        <v>39</v>
      </c>
      <c r="D32" s="111">
        <v>1943.3333333333335</v>
      </c>
      <c r="E32" s="112">
        <v>2</v>
      </c>
      <c r="F32" s="113">
        <v>3886.666666666667</v>
      </c>
      <c r="G32" s="111">
        <v>0</v>
      </c>
      <c r="H32" s="111"/>
      <c r="I32" s="111">
        <f t="shared" si="31"/>
        <v>2</v>
      </c>
      <c r="J32" s="115">
        <f t="shared" si="29"/>
        <v>3886.666666666667</v>
      </c>
    </row>
    <row r="33" ht="16.5">
      <c r="A33" s="108">
        <v>32</v>
      </c>
      <c r="B33" s="109" t="s">
        <v>80</v>
      </c>
      <c r="C33" s="110" t="s">
        <v>81</v>
      </c>
      <c r="D33" s="111">
        <v>201.40000000000001</v>
      </c>
      <c r="E33" s="112">
        <v>185</v>
      </c>
      <c r="F33" s="113">
        <v>37259</v>
      </c>
      <c r="G33" s="111">
        <f>VLOOKUP(B33,'Остатки на складах'!$A:$I,8,0)</f>
        <v>0</v>
      </c>
      <c r="H33" s="111"/>
      <c r="I33" s="111">
        <f t="shared" si="31"/>
        <v>185</v>
      </c>
      <c r="J33" s="115">
        <f t="shared" si="29"/>
        <v>37259</v>
      </c>
    </row>
    <row r="34" ht="16.5">
      <c r="A34" s="108">
        <v>33</v>
      </c>
      <c r="B34" s="109" t="s">
        <v>77</v>
      </c>
      <c r="C34" s="110" t="s">
        <v>78</v>
      </c>
      <c r="D34" s="111">
        <v>14289.860000000001</v>
      </c>
      <c r="E34" s="112">
        <v>14</v>
      </c>
      <c r="F34" s="113">
        <v>200058.03999999998</v>
      </c>
      <c r="G34" s="111">
        <v>0</v>
      </c>
      <c r="H34" s="111"/>
      <c r="I34" s="111">
        <f t="shared" si="31"/>
        <v>14</v>
      </c>
      <c r="J34" s="115">
        <f t="shared" ref="J34:J57" si="32">I34*D34</f>
        <v>200058.04000000001</v>
      </c>
    </row>
    <row r="35" ht="16.5">
      <c r="A35" s="108">
        <v>34</v>
      </c>
      <c r="B35" s="117" t="s">
        <v>139</v>
      </c>
      <c r="C35" s="110" t="s">
        <v>74</v>
      </c>
      <c r="D35" s="111">
        <v>1219</v>
      </c>
      <c r="E35" s="112">
        <v>8</v>
      </c>
      <c r="F35" s="113">
        <v>9752</v>
      </c>
      <c r="G35" s="111">
        <v>0</v>
      </c>
      <c r="H35" s="111"/>
      <c r="I35" s="111">
        <f t="shared" si="31"/>
        <v>8</v>
      </c>
      <c r="J35" s="115">
        <f t="shared" si="32"/>
        <v>9752</v>
      </c>
    </row>
    <row r="36" ht="16.5">
      <c r="A36" s="108">
        <v>35</v>
      </c>
      <c r="B36" s="109" t="s">
        <v>287</v>
      </c>
      <c r="C36" s="110" t="s">
        <v>39</v>
      </c>
      <c r="D36" s="111">
        <v>7066.666666666667</v>
      </c>
      <c r="E36" s="112">
        <v>4</v>
      </c>
      <c r="F36" s="113">
        <v>28266.666666666668</v>
      </c>
      <c r="G36" s="111">
        <v>0</v>
      </c>
      <c r="H36" s="111"/>
      <c r="I36" s="111">
        <f t="shared" si="31"/>
        <v>4</v>
      </c>
      <c r="J36" s="115">
        <f t="shared" si="32"/>
        <v>28266.666666666668</v>
      </c>
    </row>
    <row r="37" ht="16.5">
      <c r="A37" s="108">
        <v>36</v>
      </c>
      <c r="B37" s="109" t="s">
        <v>288</v>
      </c>
      <c r="C37" s="110" t="s">
        <v>39</v>
      </c>
      <c r="D37" s="111">
        <v>14133.333333333334</v>
      </c>
      <c r="E37" s="112">
        <v>8</v>
      </c>
      <c r="F37" s="113">
        <v>113066.66666666667</v>
      </c>
      <c r="G37" s="111">
        <v>2</v>
      </c>
      <c r="H37" s="114" t="s">
        <v>289</v>
      </c>
      <c r="I37" s="111">
        <f t="shared" si="31"/>
        <v>6</v>
      </c>
      <c r="J37" s="115">
        <f t="shared" si="32"/>
        <v>84800</v>
      </c>
    </row>
    <row r="38" ht="16.5">
      <c r="A38" s="108">
        <v>37</v>
      </c>
      <c r="B38" s="109" t="s">
        <v>290</v>
      </c>
      <c r="C38" s="110" t="s">
        <v>39</v>
      </c>
      <c r="D38" s="111">
        <v>13250</v>
      </c>
      <c r="E38" s="112">
        <v>4</v>
      </c>
      <c r="F38" s="113">
        <v>53000</v>
      </c>
      <c r="G38" s="111">
        <v>2</v>
      </c>
      <c r="H38" s="114" t="s">
        <v>291</v>
      </c>
      <c r="I38" s="111">
        <f t="shared" si="31"/>
        <v>2</v>
      </c>
      <c r="J38" s="115">
        <f t="shared" si="32"/>
        <v>26500</v>
      </c>
    </row>
    <row r="39" ht="16.5">
      <c r="A39" s="108">
        <v>38</v>
      </c>
      <c r="B39" s="109" t="s">
        <v>292</v>
      </c>
      <c r="C39" s="110" t="s">
        <v>39</v>
      </c>
      <c r="D39" s="111">
        <v>13250</v>
      </c>
      <c r="E39" s="112">
        <v>6</v>
      </c>
      <c r="F39" s="113">
        <v>79500</v>
      </c>
      <c r="G39" s="111">
        <v>0</v>
      </c>
      <c r="H39" s="111"/>
      <c r="I39" s="111">
        <f t="shared" si="31"/>
        <v>6</v>
      </c>
      <c r="J39" s="115">
        <f t="shared" si="32"/>
        <v>79500</v>
      </c>
    </row>
    <row r="40" ht="16.5">
      <c r="A40" s="108">
        <v>39</v>
      </c>
      <c r="B40" s="109" t="s">
        <v>293</v>
      </c>
      <c r="C40" s="110" t="s">
        <v>39</v>
      </c>
      <c r="D40" s="111">
        <v>13250</v>
      </c>
      <c r="E40" s="112">
        <v>6</v>
      </c>
      <c r="F40" s="113">
        <v>79500</v>
      </c>
      <c r="G40" s="111">
        <v>0</v>
      </c>
      <c r="H40" s="111"/>
      <c r="I40" s="111">
        <f t="shared" si="31"/>
        <v>6</v>
      </c>
      <c r="J40" s="115">
        <f t="shared" si="32"/>
        <v>79500</v>
      </c>
    </row>
    <row r="41" ht="16.5">
      <c r="A41" s="108">
        <v>40</v>
      </c>
      <c r="B41" s="109" t="s">
        <v>294</v>
      </c>
      <c r="C41" s="110" t="s">
        <v>39</v>
      </c>
      <c r="D41" s="111">
        <v>5300</v>
      </c>
      <c r="E41" s="112">
        <v>1</v>
      </c>
      <c r="F41" s="113">
        <v>5300</v>
      </c>
      <c r="G41" s="111">
        <v>0</v>
      </c>
      <c r="H41" s="111"/>
      <c r="I41" s="111">
        <f t="shared" si="31"/>
        <v>1</v>
      </c>
      <c r="J41" s="115">
        <f t="shared" si="32"/>
        <v>5300</v>
      </c>
    </row>
    <row r="42" ht="16.5">
      <c r="A42" s="108">
        <v>41</v>
      </c>
      <c r="B42" s="109" t="s">
        <v>295</v>
      </c>
      <c r="C42" s="110" t="s">
        <v>39</v>
      </c>
      <c r="D42" s="111">
        <v>5300</v>
      </c>
      <c r="E42" s="112">
        <v>1</v>
      </c>
      <c r="F42" s="113">
        <v>5300</v>
      </c>
      <c r="G42" s="111">
        <v>0</v>
      </c>
      <c r="H42" s="111"/>
      <c r="I42" s="111">
        <f t="shared" si="31"/>
        <v>1</v>
      </c>
      <c r="J42" s="115">
        <f t="shared" si="32"/>
        <v>5300</v>
      </c>
    </row>
    <row r="43" ht="16.5">
      <c r="A43" s="108">
        <v>42</v>
      </c>
      <c r="B43" s="109" t="s">
        <v>296</v>
      </c>
      <c r="C43" s="110" t="s">
        <v>35</v>
      </c>
      <c r="D43" s="111">
        <v>1612.9666666666669</v>
      </c>
      <c r="E43" s="112">
        <v>206</v>
      </c>
      <c r="F43" s="113">
        <v>332271.13333333336</v>
      </c>
      <c r="G43" s="111">
        <v>0</v>
      </c>
      <c r="H43" s="111"/>
      <c r="I43" s="111">
        <f t="shared" si="31"/>
        <v>206</v>
      </c>
      <c r="J43" s="115">
        <f t="shared" si="32"/>
        <v>332271.13333333336</v>
      </c>
    </row>
    <row r="44" ht="16.5">
      <c r="A44" s="108">
        <v>43</v>
      </c>
      <c r="B44" s="117" t="s">
        <v>297</v>
      </c>
      <c r="C44" s="110" t="s">
        <v>35</v>
      </c>
      <c r="D44" s="111">
        <v>2140.3166666666671</v>
      </c>
      <c r="E44" s="112">
        <v>60</v>
      </c>
      <c r="F44" s="113">
        <v>128419.00000000003</v>
      </c>
      <c r="G44" s="111">
        <v>83.439999999999998</v>
      </c>
      <c r="H44" s="114" t="s">
        <v>298</v>
      </c>
      <c r="I44" s="111">
        <v>0</v>
      </c>
      <c r="J44" s="115">
        <f t="shared" si="32"/>
        <v>0</v>
      </c>
    </row>
    <row r="45" ht="16.5">
      <c r="A45" s="108">
        <v>44</v>
      </c>
      <c r="B45" s="109" t="s">
        <v>299</v>
      </c>
      <c r="C45" s="110" t="s">
        <v>35</v>
      </c>
      <c r="D45" s="111">
        <v>4513.8333333333339</v>
      </c>
      <c r="E45" s="112">
        <v>836</v>
      </c>
      <c r="F45" s="113">
        <v>3773564.666666667</v>
      </c>
      <c r="G45" s="111">
        <v>0</v>
      </c>
      <c r="H45" s="111"/>
      <c r="I45" s="111">
        <f t="shared" si="31"/>
        <v>836</v>
      </c>
      <c r="J45" s="115">
        <f t="shared" si="32"/>
        <v>3773564.666666667</v>
      </c>
    </row>
    <row r="46" ht="16.5">
      <c r="A46" s="108">
        <v>45</v>
      </c>
      <c r="B46" s="109" t="s">
        <v>300</v>
      </c>
      <c r="C46" s="110" t="s">
        <v>35</v>
      </c>
      <c r="D46" s="111">
        <v>905.41666666666674</v>
      </c>
      <c r="E46" s="112">
        <v>89</v>
      </c>
      <c r="F46" s="113">
        <v>80582.083333333343</v>
      </c>
      <c r="G46" s="111">
        <v>0</v>
      </c>
      <c r="H46" s="111"/>
      <c r="I46" s="111">
        <f t="shared" si="31"/>
        <v>89</v>
      </c>
      <c r="J46" s="115">
        <f t="shared" si="32"/>
        <v>80582.083333333343</v>
      </c>
    </row>
    <row r="47" ht="16.5">
      <c r="A47" s="108">
        <v>46</v>
      </c>
      <c r="B47" s="109" t="s">
        <v>301</v>
      </c>
      <c r="C47" s="110" t="s">
        <v>35</v>
      </c>
      <c r="D47" s="111">
        <v>1227.8333333333335</v>
      </c>
      <c r="E47" s="112">
        <v>24</v>
      </c>
      <c r="F47" s="113">
        <v>29468.000000000004</v>
      </c>
      <c r="G47" s="111">
        <v>13</v>
      </c>
      <c r="H47" s="114" t="s">
        <v>302</v>
      </c>
      <c r="I47" s="111">
        <f t="shared" si="31"/>
        <v>11</v>
      </c>
      <c r="J47" s="115">
        <f t="shared" si="32"/>
        <v>13506.166666666668</v>
      </c>
    </row>
    <row r="48" ht="16.5">
      <c r="A48" s="108">
        <v>47</v>
      </c>
      <c r="B48" s="117" t="s">
        <v>303</v>
      </c>
      <c r="C48" s="110" t="s">
        <v>35</v>
      </c>
      <c r="D48" s="111">
        <v>955.76666666666677</v>
      </c>
      <c r="E48" s="112">
        <v>404</v>
      </c>
      <c r="F48" s="113">
        <v>386129.7333333334</v>
      </c>
      <c r="G48" s="111">
        <v>142</v>
      </c>
      <c r="H48" s="114" t="s">
        <v>304</v>
      </c>
      <c r="I48" s="111">
        <f t="shared" si="31"/>
        <v>262</v>
      </c>
      <c r="J48" s="115">
        <f t="shared" si="32"/>
        <v>250410.8666666667</v>
      </c>
    </row>
    <row r="49" ht="16.5">
      <c r="A49" s="108">
        <v>48</v>
      </c>
      <c r="B49" s="109" t="s">
        <v>305</v>
      </c>
      <c r="C49" s="110" t="s">
        <v>35</v>
      </c>
      <c r="D49" s="111">
        <v>1083.8500000000001</v>
      </c>
      <c r="E49" s="112">
        <v>198</v>
      </c>
      <c r="F49" s="113">
        <v>214602.30000000002</v>
      </c>
      <c r="G49" s="111">
        <v>0</v>
      </c>
      <c r="H49" s="111"/>
      <c r="I49" s="111">
        <f t="shared" si="31"/>
        <v>198</v>
      </c>
      <c r="J49" s="115">
        <f t="shared" si="32"/>
        <v>214602.30000000002</v>
      </c>
    </row>
    <row r="50" ht="16.5">
      <c r="A50" s="108">
        <v>49</v>
      </c>
      <c r="B50" s="109" t="s">
        <v>306</v>
      </c>
      <c r="C50" s="110" t="s">
        <v>35</v>
      </c>
      <c r="D50" s="111">
        <v>1431</v>
      </c>
      <c r="E50" s="112">
        <v>10</v>
      </c>
      <c r="F50" s="113">
        <v>14310</v>
      </c>
      <c r="G50" s="111">
        <v>0</v>
      </c>
      <c r="H50" s="111"/>
      <c r="I50" s="111">
        <f t="shared" si="31"/>
        <v>10</v>
      </c>
      <c r="J50" s="115">
        <f t="shared" si="32"/>
        <v>14310</v>
      </c>
    </row>
    <row r="51" ht="16.5">
      <c r="A51" s="108">
        <v>50</v>
      </c>
      <c r="B51" s="109" t="s">
        <v>307</v>
      </c>
      <c r="C51" s="110" t="s">
        <v>39</v>
      </c>
      <c r="D51" s="111">
        <v>17666.666666666668</v>
      </c>
      <c r="E51" s="112">
        <v>2</v>
      </c>
      <c r="F51" s="113">
        <v>35333.333333333336</v>
      </c>
      <c r="G51" s="111">
        <v>0</v>
      </c>
      <c r="H51" s="111"/>
      <c r="I51" s="111">
        <f t="shared" si="31"/>
        <v>2</v>
      </c>
      <c r="J51" s="115">
        <f t="shared" si="32"/>
        <v>35333.333333333336</v>
      </c>
    </row>
    <row r="52" ht="16.5">
      <c r="A52" s="108">
        <v>51</v>
      </c>
      <c r="B52" s="109" t="s">
        <v>308</v>
      </c>
      <c r="C52" s="110" t="s">
        <v>39</v>
      </c>
      <c r="D52" s="111">
        <v>30916.666666666668</v>
      </c>
      <c r="E52" s="112">
        <v>2</v>
      </c>
      <c r="F52" s="113">
        <v>61833.333333333336</v>
      </c>
      <c r="G52" s="111">
        <v>0</v>
      </c>
      <c r="H52" s="111"/>
      <c r="I52" s="111">
        <f t="shared" si="31"/>
        <v>2</v>
      </c>
      <c r="J52" s="115">
        <f t="shared" si="32"/>
        <v>61833.333333333336</v>
      </c>
    </row>
    <row r="53" ht="16.5">
      <c r="A53" s="108">
        <v>52</v>
      </c>
      <c r="B53" s="109" t="s">
        <v>309</v>
      </c>
      <c r="C53" s="110" t="s">
        <v>39</v>
      </c>
      <c r="D53" s="111">
        <v>8833.3333333333339</v>
      </c>
      <c r="E53" s="112">
        <v>6</v>
      </c>
      <c r="F53" s="113">
        <v>53000</v>
      </c>
      <c r="G53" s="111">
        <v>0</v>
      </c>
      <c r="H53" s="111"/>
      <c r="I53" s="111">
        <f t="shared" si="31"/>
        <v>6</v>
      </c>
      <c r="J53" s="115">
        <f t="shared" si="32"/>
        <v>53000</v>
      </c>
    </row>
    <row r="54" ht="16.5">
      <c r="A54" s="108">
        <v>53</v>
      </c>
      <c r="B54" s="109" t="s">
        <v>310</v>
      </c>
      <c r="C54" s="110" t="s">
        <v>39</v>
      </c>
      <c r="D54" s="111">
        <v>10600</v>
      </c>
      <c r="E54" s="112">
        <v>22</v>
      </c>
      <c r="F54" s="113">
        <v>233200</v>
      </c>
      <c r="G54" s="111">
        <v>0</v>
      </c>
      <c r="H54" s="111"/>
      <c r="I54" s="111">
        <f t="shared" si="31"/>
        <v>22</v>
      </c>
      <c r="J54" s="115">
        <f t="shared" si="32"/>
        <v>233200</v>
      </c>
    </row>
    <row r="55" ht="16.5">
      <c r="A55" s="108">
        <v>54</v>
      </c>
      <c r="B55" s="109" t="s">
        <v>311</v>
      </c>
      <c r="C55" s="110" t="s">
        <v>39</v>
      </c>
      <c r="D55" s="111">
        <v>13250</v>
      </c>
      <c r="E55" s="112">
        <v>2</v>
      </c>
      <c r="F55" s="113">
        <v>26500</v>
      </c>
      <c r="G55" s="111">
        <v>0</v>
      </c>
      <c r="H55" s="111"/>
      <c r="I55" s="111">
        <f t="shared" si="31"/>
        <v>2</v>
      </c>
      <c r="J55" s="115">
        <f t="shared" si="32"/>
        <v>26500</v>
      </c>
    </row>
    <row r="56" ht="16.5">
      <c r="A56" s="108">
        <v>55</v>
      </c>
      <c r="B56" s="109" t="s">
        <v>312</v>
      </c>
      <c r="C56" s="110" t="s">
        <v>39</v>
      </c>
      <c r="D56" s="111">
        <v>15016.666666666668</v>
      </c>
      <c r="E56" s="112">
        <v>2</v>
      </c>
      <c r="F56" s="113">
        <v>30033.333333333336</v>
      </c>
      <c r="G56" s="111">
        <v>0</v>
      </c>
      <c r="H56" s="111"/>
      <c r="I56" s="111">
        <f t="shared" si="31"/>
        <v>2</v>
      </c>
      <c r="J56" s="115">
        <f t="shared" si="32"/>
        <v>30033.333333333336</v>
      </c>
    </row>
    <row r="57" ht="16.5">
      <c r="A57" s="108">
        <v>56</v>
      </c>
      <c r="B57" s="109" t="s">
        <v>75</v>
      </c>
      <c r="C57" s="110" t="s">
        <v>76</v>
      </c>
      <c r="D57" s="111">
        <v>368.41360000000003</v>
      </c>
      <c r="E57" s="112">
        <v>260</v>
      </c>
      <c r="F57" s="113">
        <v>95787.535999999993</v>
      </c>
      <c r="G57" s="111">
        <v>0</v>
      </c>
      <c r="H57" s="111"/>
      <c r="I57" s="111">
        <f t="shared" si="31"/>
        <v>260</v>
      </c>
      <c r="J57" s="115">
        <f t="shared" si="32"/>
        <v>95787.536000000007</v>
      </c>
    </row>
    <row r="58" ht="16.5">
      <c r="A58" s="118"/>
      <c r="B58" s="118" t="s">
        <v>313</v>
      </c>
      <c r="C58" s="119"/>
      <c r="D58" s="119"/>
      <c r="E58" s="119"/>
      <c r="F58" s="120">
        <f>SUM(F2:F57)</f>
        <v>7832566.9459999995</v>
      </c>
      <c r="G58" s="119"/>
      <c r="H58" s="119"/>
      <c r="I58" s="119"/>
      <c r="J58" s="120">
        <f>SUM(J2:J57)</f>
        <v>7318110.0793333333</v>
      </c>
    </row>
  </sheetData>
  <autoFilter ref="B1:J58"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40" zoomScale="90" workbookViewId="0">
      <selection activeCell="B41" activeCellId="0" sqref="B41"/>
    </sheetView>
  </sheetViews>
  <sheetFormatPr defaultRowHeight="12.75"/>
  <cols>
    <col min="1" max="1" style="121" width="9.125"/>
    <col customWidth="1" min="2" max="2" style="121" width="67.375"/>
    <col min="3" max="4" style="121" width="9.125"/>
    <col customWidth="1" hidden="1" min="5" max="5" style="121" width="13.375"/>
    <col customWidth="1" hidden="1" min="6" max="6" style="121" width="17.75"/>
    <col customWidth="1" min="7" max="7" style="121" width="17.75"/>
    <col customWidth="1" min="8" max="8" style="121" width="25.125"/>
    <col customWidth="1" min="9" max="9" width="26.75"/>
    <col customWidth="1" min="10" max="10" style="122" width="22.75"/>
    <col customWidth="1" min="11" max="12" width="38.75"/>
  </cols>
  <sheetData>
    <row r="1" ht="41.299999999999997" customHeight="1">
      <c r="B1" s="123" t="s">
        <v>314</v>
      </c>
      <c r="C1" s="123"/>
      <c r="D1" s="123"/>
      <c r="E1" s="123"/>
      <c r="F1" s="123"/>
      <c r="G1" s="124" t="s">
        <v>315</v>
      </c>
      <c r="H1" s="125"/>
      <c r="I1" s="125"/>
      <c r="J1" s="125"/>
      <c r="K1" s="126"/>
      <c r="L1" s="126"/>
    </row>
    <row r="2" s="127" customFormat="1" ht="33">
      <c r="A2" s="128" t="s">
        <v>316</v>
      </c>
      <c r="B2" s="128" t="s">
        <v>317</v>
      </c>
      <c r="C2" s="128" t="s">
        <v>318</v>
      </c>
      <c r="D2" s="128" t="s">
        <v>319</v>
      </c>
      <c r="E2" s="129" t="s">
        <v>320</v>
      </c>
      <c r="F2" s="128" t="s">
        <v>30</v>
      </c>
      <c r="G2" s="128" t="s">
        <v>321</v>
      </c>
      <c r="H2" s="129" t="s">
        <v>322</v>
      </c>
      <c r="I2" s="128" t="s">
        <v>323</v>
      </c>
      <c r="J2" s="128" t="s">
        <v>324</v>
      </c>
      <c r="K2" s="128" t="s">
        <v>325</v>
      </c>
      <c r="L2" s="128" t="s">
        <v>326</v>
      </c>
    </row>
    <row r="3" ht="16.5">
      <c r="A3" s="130">
        <v>1</v>
      </c>
      <c r="B3" s="130" t="s">
        <v>299</v>
      </c>
      <c r="C3" s="131" t="s">
        <v>327</v>
      </c>
      <c r="D3" s="131">
        <v>836</v>
      </c>
      <c r="E3" s="108">
        <v>4298</v>
      </c>
      <c r="F3" s="108">
        <v>3593128</v>
      </c>
      <c r="G3" s="108" t="e">
        <f>VLOOKUP(B3,#REF!,4,0)</f>
        <v>#REF!</v>
      </c>
      <c r="H3" s="108" t="e">
        <f>VLOOKUP(B3,#REF!,8,0)</f>
        <v>#REF!</v>
      </c>
      <c r="I3" s="108" t="e">
        <f t="shared" ref="I3:I43" si="33">D3-H3</f>
        <v>#REF!</v>
      </c>
      <c r="J3" s="132" t="e">
        <f t="shared" ref="J3:J42" si="34">IF(I3=0,"ОК","НЕ СООТВЕТСТВУЕТ")</f>
        <v>#REF!</v>
      </c>
      <c r="K3" s="108"/>
      <c r="L3" s="108"/>
    </row>
    <row r="4" ht="16.5">
      <c r="A4" s="130">
        <v>2</v>
      </c>
      <c r="B4" s="130" t="s">
        <v>296</v>
      </c>
      <c r="C4" s="131" t="s">
        <v>327</v>
      </c>
      <c r="D4" s="131">
        <v>206</v>
      </c>
      <c r="E4" s="108">
        <v>1757</v>
      </c>
      <c r="F4" s="108">
        <v>361942</v>
      </c>
      <c r="G4" s="108" t="e">
        <f>VLOOKUP(B4,#REF!,4,0)</f>
        <v>#REF!</v>
      </c>
      <c r="H4" s="108" t="e">
        <f>VLOOKUP(B4,#REF!,8,0)</f>
        <v>#REF!</v>
      </c>
      <c r="I4" s="108" t="e">
        <f t="shared" si="33"/>
        <v>#REF!</v>
      </c>
      <c r="J4" s="132" t="e">
        <f t="shared" si="34"/>
        <v>#REF!</v>
      </c>
      <c r="K4" s="108"/>
      <c r="L4" s="108"/>
    </row>
    <row r="5" ht="16.5">
      <c r="A5" s="130">
        <v>3</v>
      </c>
      <c r="B5" s="130" t="s">
        <v>306</v>
      </c>
      <c r="C5" s="131" t="s">
        <v>327</v>
      </c>
      <c r="D5" s="131">
        <v>10</v>
      </c>
      <c r="E5" s="108">
        <v>1269</v>
      </c>
      <c r="F5" s="108">
        <v>12690</v>
      </c>
      <c r="G5" s="108" t="e">
        <f>VLOOKUP(B5,#REF!,4,0)</f>
        <v>#REF!</v>
      </c>
      <c r="H5" s="108" t="e">
        <f>VLOOKUP(B5,#REF!,8,0)</f>
        <v>#REF!</v>
      </c>
      <c r="I5" s="108" t="e">
        <f t="shared" si="33"/>
        <v>#REF!</v>
      </c>
      <c r="J5" s="132" t="e">
        <f t="shared" si="34"/>
        <v>#REF!</v>
      </c>
      <c r="K5" s="108"/>
      <c r="L5" s="108"/>
    </row>
    <row r="6" ht="16.5">
      <c r="A6" s="130">
        <v>4</v>
      </c>
      <c r="B6" s="130" t="s">
        <v>305</v>
      </c>
      <c r="C6" s="131" t="s">
        <v>327</v>
      </c>
      <c r="D6" s="131">
        <v>198</v>
      </c>
      <c r="E6" s="108">
        <v>1119</v>
      </c>
      <c r="F6" s="108">
        <v>221562</v>
      </c>
      <c r="G6" s="108" t="e">
        <f>VLOOKUP(B6,#REF!,4,0)</f>
        <v>#REF!</v>
      </c>
      <c r="H6" s="108" t="e">
        <f>VLOOKUP(B6,#REF!,8,0)</f>
        <v>#REF!</v>
      </c>
      <c r="I6" s="108" t="e">
        <f t="shared" si="33"/>
        <v>#REF!</v>
      </c>
      <c r="J6" s="132" t="e">
        <f t="shared" si="34"/>
        <v>#REF!</v>
      </c>
      <c r="K6" s="108"/>
      <c r="L6" s="108"/>
    </row>
    <row r="7" ht="16.5">
      <c r="A7" s="130">
        <v>5</v>
      </c>
      <c r="B7" s="133" t="s">
        <v>301</v>
      </c>
      <c r="C7" s="131" t="s">
        <v>327</v>
      </c>
      <c r="D7" s="131">
        <v>24</v>
      </c>
      <c r="E7" s="108">
        <v>1080.2</v>
      </c>
      <c r="F7" s="108">
        <v>25924.799999999999</v>
      </c>
      <c r="G7" s="108" t="e">
        <f>VLOOKUP(B7,#REF!,4,0)</f>
        <v>#REF!</v>
      </c>
      <c r="H7" s="108" t="e">
        <f>VLOOKUP(B7,#REF!,8,0)</f>
        <v>#REF!</v>
      </c>
      <c r="I7" s="108" t="e">
        <f t="shared" si="33"/>
        <v>#REF!</v>
      </c>
      <c r="J7" s="134" t="e">
        <f t="shared" si="34"/>
        <v>#REF!</v>
      </c>
      <c r="K7" s="108" t="s">
        <v>328</v>
      </c>
      <c r="L7" s="108" t="s">
        <v>329</v>
      </c>
    </row>
    <row r="8" ht="16.5">
      <c r="A8" s="130">
        <v>6</v>
      </c>
      <c r="B8" s="130" t="s">
        <v>300</v>
      </c>
      <c r="C8" s="131" t="s">
        <v>327</v>
      </c>
      <c r="D8" s="131">
        <v>89</v>
      </c>
      <c r="E8" s="108">
        <v>1279</v>
      </c>
      <c r="F8" s="108">
        <v>113831</v>
      </c>
      <c r="G8" s="108" t="e">
        <f>VLOOKUP(B8,#REF!,4,0)</f>
        <v>#REF!</v>
      </c>
      <c r="H8" s="108" t="e">
        <f>VLOOKUP(B8,#REF!,8,0)</f>
        <v>#REF!</v>
      </c>
      <c r="I8" s="108" t="e">
        <f t="shared" si="33"/>
        <v>#REF!</v>
      </c>
      <c r="J8" s="132" t="e">
        <f t="shared" si="34"/>
        <v>#REF!</v>
      </c>
      <c r="K8" s="108"/>
      <c r="L8" s="108"/>
    </row>
    <row r="9" ht="16.5">
      <c r="A9" s="130">
        <v>7</v>
      </c>
      <c r="B9" s="130" t="s">
        <v>330</v>
      </c>
      <c r="C9" s="131" t="s">
        <v>327</v>
      </c>
      <c r="D9" s="131">
        <v>262</v>
      </c>
      <c r="E9" s="108">
        <v>843</v>
      </c>
      <c r="F9" s="108">
        <v>220866</v>
      </c>
      <c r="G9" s="108" t="e">
        <f>VLOOKUP(B9,#REF!,4,0)</f>
        <v>#REF!</v>
      </c>
      <c r="H9" s="108" t="e">
        <f>VLOOKUP(B9,#REF!,8,0)</f>
        <v>#REF!</v>
      </c>
      <c r="I9" s="108" t="e">
        <f t="shared" si="33"/>
        <v>#REF!</v>
      </c>
      <c r="J9" s="132" t="e">
        <f t="shared" si="34"/>
        <v>#REF!</v>
      </c>
      <c r="K9" s="108"/>
      <c r="L9" s="108"/>
    </row>
    <row r="10" ht="33">
      <c r="A10" s="130">
        <v>8</v>
      </c>
      <c r="B10" s="130" t="s">
        <v>275</v>
      </c>
      <c r="C10" s="131" t="s">
        <v>331</v>
      </c>
      <c r="D10" s="131">
        <v>56</v>
      </c>
      <c r="E10" s="108">
        <v>12103</v>
      </c>
      <c r="F10" s="108">
        <v>677768</v>
      </c>
      <c r="G10" s="108" t="e">
        <f>VLOOKUP(B10,#REF!,4,0)</f>
        <v>#REF!</v>
      </c>
      <c r="H10" s="108" t="e">
        <f>VLOOKUP(B10,#REF!,8,0)</f>
        <v>#REF!</v>
      </c>
      <c r="I10" s="108" t="e">
        <f t="shared" si="33"/>
        <v>#REF!</v>
      </c>
      <c r="J10" s="132" t="e">
        <f t="shared" si="34"/>
        <v>#REF!</v>
      </c>
      <c r="K10" s="108"/>
      <c r="L10" s="108"/>
    </row>
    <row r="11" ht="33">
      <c r="A11" s="130">
        <v>9</v>
      </c>
      <c r="B11" s="130" t="s">
        <v>273</v>
      </c>
      <c r="C11" s="131" t="s">
        <v>39</v>
      </c>
      <c r="D11" s="131">
        <v>4</v>
      </c>
      <c r="E11" s="108">
        <v>7255.8000000000002</v>
      </c>
      <c r="F11" s="108">
        <v>29023.200000000001</v>
      </c>
      <c r="G11" s="108" t="e">
        <f>VLOOKUP(B11,#REF!,4,0)</f>
        <v>#REF!</v>
      </c>
      <c r="H11" s="108" t="e">
        <f>VLOOKUP(B11,#REF!,8,0)</f>
        <v>#REF!</v>
      </c>
      <c r="I11" s="108" t="e">
        <f t="shared" si="33"/>
        <v>#REF!</v>
      </c>
      <c r="J11" s="132" t="e">
        <f t="shared" si="34"/>
        <v>#REF!</v>
      </c>
      <c r="K11" s="108"/>
      <c r="L11" s="108"/>
    </row>
    <row r="12" ht="33">
      <c r="A12" s="130">
        <v>10</v>
      </c>
      <c r="B12" s="130" t="s">
        <v>332</v>
      </c>
      <c r="C12" s="131" t="s">
        <v>39</v>
      </c>
      <c r="D12" s="131">
        <v>34</v>
      </c>
      <c r="E12" s="108">
        <v>6696</v>
      </c>
      <c r="F12" s="108">
        <v>227664</v>
      </c>
      <c r="G12" s="108" t="e">
        <f>VLOOKUP(B12,#REF!,4,0)</f>
        <v>#REF!</v>
      </c>
      <c r="H12" s="108" t="e">
        <f>VLOOKUP(B12,#REF!,8,0)</f>
        <v>#REF!</v>
      </c>
      <c r="I12" s="108" t="e">
        <f t="shared" si="33"/>
        <v>#REF!</v>
      </c>
      <c r="J12" s="132" t="e">
        <f t="shared" si="34"/>
        <v>#REF!</v>
      </c>
      <c r="K12" s="108"/>
      <c r="L12" s="108"/>
    </row>
    <row r="13" ht="33">
      <c r="A13" s="130">
        <v>11</v>
      </c>
      <c r="B13" s="133" t="s">
        <v>333</v>
      </c>
      <c r="C13" s="131" t="s">
        <v>39</v>
      </c>
      <c r="D13" s="131">
        <v>4</v>
      </c>
      <c r="E13" s="108">
        <v>7263</v>
      </c>
      <c r="F13" s="108">
        <v>29052</v>
      </c>
      <c r="G13" s="108" t="e">
        <f>VLOOKUP(B13,#REF!,4,0)</f>
        <v>#REF!</v>
      </c>
      <c r="H13" s="108" t="e">
        <f>VLOOKUP(B13,#REF!,8,0)</f>
        <v>#REF!</v>
      </c>
      <c r="I13" s="108" t="e">
        <f t="shared" si="33"/>
        <v>#REF!</v>
      </c>
      <c r="J13" s="134" t="e">
        <f t="shared" si="34"/>
        <v>#REF!</v>
      </c>
      <c r="K13" s="108" t="s">
        <v>334</v>
      </c>
      <c r="L13" s="108"/>
    </row>
    <row r="14" ht="33">
      <c r="A14" s="130">
        <v>12</v>
      </c>
      <c r="B14" s="130" t="s">
        <v>335</v>
      </c>
      <c r="C14" s="131" t="s">
        <v>39</v>
      </c>
      <c r="D14" s="131">
        <v>6</v>
      </c>
      <c r="E14" s="108">
        <v>7123</v>
      </c>
      <c r="F14" s="108">
        <v>42738</v>
      </c>
      <c r="G14" s="108" t="e">
        <f>VLOOKUP(B14,#REF!,4,0)</f>
        <v>#REF!</v>
      </c>
      <c r="H14" s="108" t="e">
        <f>VLOOKUP(B14,#REF!,8,0)</f>
        <v>#REF!</v>
      </c>
      <c r="I14" s="108" t="e">
        <f t="shared" si="33"/>
        <v>#REF!</v>
      </c>
      <c r="J14" s="132" t="e">
        <f t="shared" si="34"/>
        <v>#REF!</v>
      </c>
      <c r="K14" s="108"/>
      <c r="L14" s="108"/>
    </row>
    <row r="15" ht="33">
      <c r="A15" s="130">
        <v>13</v>
      </c>
      <c r="B15" s="130" t="s">
        <v>336</v>
      </c>
      <c r="C15" s="131" t="s">
        <v>39</v>
      </c>
      <c r="D15" s="131">
        <v>6</v>
      </c>
      <c r="E15" s="108">
        <v>7203</v>
      </c>
      <c r="F15" s="108">
        <v>43218</v>
      </c>
      <c r="G15" s="108" t="e">
        <f>VLOOKUP(B15,#REF!,4,0)</f>
        <v>#REF!</v>
      </c>
      <c r="H15" s="108" t="e">
        <f>VLOOKUP(B15,#REF!,8,0)</f>
        <v>#REF!</v>
      </c>
      <c r="I15" s="108" t="e">
        <f t="shared" si="33"/>
        <v>#REF!</v>
      </c>
      <c r="J15" s="132" t="e">
        <f t="shared" si="34"/>
        <v>#REF!</v>
      </c>
      <c r="K15" s="108"/>
      <c r="L15" s="108"/>
    </row>
    <row r="16" ht="33">
      <c r="A16" s="130">
        <v>14</v>
      </c>
      <c r="B16" s="130" t="s">
        <v>337</v>
      </c>
      <c r="C16" s="131" t="s">
        <v>39</v>
      </c>
      <c r="D16" s="131">
        <v>20</v>
      </c>
      <c r="E16" s="108">
        <v>4943</v>
      </c>
      <c r="F16" s="108">
        <v>98860</v>
      </c>
      <c r="G16" s="108" t="e">
        <f>VLOOKUP(B16,#REF!,4,0)</f>
        <v>#REF!</v>
      </c>
      <c r="H16" s="108" t="e">
        <f>VLOOKUP(B16,#REF!,8,0)</f>
        <v>#REF!</v>
      </c>
      <c r="I16" s="108" t="e">
        <f t="shared" si="33"/>
        <v>#REF!</v>
      </c>
      <c r="J16" s="132" t="e">
        <f t="shared" si="34"/>
        <v>#REF!</v>
      </c>
      <c r="K16" s="108"/>
      <c r="L16" s="108"/>
    </row>
    <row r="17" ht="33">
      <c r="A17" s="130">
        <v>15</v>
      </c>
      <c r="B17" s="133" t="s">
        <v>338</v>
      </c>
      <c r="C17" s="131" t="s">
        <v>39</v>
      </c>
      <c r="D17" s="131">
        <v>20</v>
      </c>
      <c r="E17" s="108">
        <v>4024.5999999999999</v>
      </c>
      <c r="F17" s="108">
        <v>80492</v>
      </c>
      <c r="G17" s="108" t="e">
        <f>VLOOKUP(B17,#REF!,4,0)</f>
        <v>#REF!</v>
      </c>
      <c r="H17" s="108" t="e">
        <f>VLOOKUP(B17,#REF!,8,0)</f>
        <v>#REF!</v>
      </c>
      <c r="I17" s="108" t="e">
        <f t="shared" si="33"/>
        <v>#REF!</v>
      </c>
      <c r="J17" s="134" t="e">
        <f t="shared" si="34"/>
        <v>#REF!</v>
      </c>
      <c r="K17" s="108" t="s">
        <v>339</v>
      </c>
      <c r="L17" s="108"/>
    </row>
    <row r="18" ht="33">
      <c r="A18" s="130">
        <v>16</v>
      </c>
      <c r="B18" s="133" t="s">
        <v>340</v>
      </c>
      <c r="C18" s="131" t="s">
        <v>39</v>
      </c>
      <c r="D18" s="131">
        <v>40</v>
      </c>
      <c r="E18" s="108">
        <v>3803</v>
      </c>
      <c r="F18" s="108">
        <v>152120</v>
      </c>
      <c r="G18" s="108" t="e">
        <f>VLOOKUP(B18,#REF!,4,0)</f>
        <v>#REF!</v>
      </c>
      <c r="H18" s="108" t="e">
        <f>VLOOKUP(B18,#REF!,8,0)</f>
        <v>#REF!</v>
      </c>
      <c r="I18" s="108" t="e">
        <f t="shared" si="33"/>
        <v>#REF!</v>
      </c>
      <c r="J18" s="134" t="e">
        <f t="shared" si="34"/>
        <v>#REF!</v>
      </c>
      <c r="K18" s="108" t="s">
        <v>341</v>
      </c>
      <c r="L18" s="108"/>
    </row>
    <row r="19" ht="33">
      <c r="A19" s="130">
        <v>17</v>
      </c>
      <c r="B19" s="130" t="s">
        <v>342</v>
      </c>
      <c r="C19" s="131" t="s">
        <v>39</v>
      </c>
      <c r="D19" s="131">
        <v>44</v>
      </c>
      <c r="E19" s="108">
        <v>4878</v>
      </c>
      <c r="F19" s="108">
        <v>214632</v>
      </c>
      <c r="G19" s="108" t="e">
        <f>VLOOKUP(B19,#REF!,4,0)</f>
        <v>#REF!</v>
      </c>
      <c r="H19" s="108" t="e">
        <f>VLOOKUP(B19,#REF!,8,0)</f>
        <v>#REF!</v>
      </c>
      <c r="I19" s="108" t="e">
        <f t="shared" si="33"/>
        <v>#REF!</v>
      </c>
      <c r="J19" s="132" t="e">
        <f t="shared" si="34"/>
        <v>#REF!</v>
      </c>
      <c r="K19" s="108"/>
      <c r="L19" s="108"/>
    </row>
    <row r="20" ht="33">
      <c r="A20" s="130">
        <v>18</v>
      </c>
      <c r="B20" s="130" t="s">
        <v>343</v>
      </c>
      <c r="C20" s="131" t="s">
        <v>39</v>
      </c>
      <c r="D20" s="131">
        <v>10</v>
      </c>
      <c r="E20" s="108">
        <v>4443</v>
      </c>
      <c r="F20" s="108">
        <v>44430</v>
      </c>
      <c r="G20" s="108" t="e">
        <f>VLOOKUP(B20,#REF!,4,0)</f>
        <v>#REF!</v>
      </c>
      <c r="H20" s="108" t="e">
        <f>VLOOKUP(B20,#REF!,8,0)</f>
        <v>#REF!</v>
      </c>
      <c r="I20" s="108" t="e">
        <f t="shared" si="33"/>
        <v>#REF!</v>
      </c>
      <c r="J20" s="132" t="e">
        <f t="shared" si="34"/>
        <v>#REF!</v>
      </c>
      <c r="K20" s="108"/>
      <c r="L20" s="108"/>
    </row>
    <row r="21" ht="49.5">
      <c r="A21" s="130">
        <v>19</v>
      </c>
      <c r="B21" s="130" t="s">
        <v>285</v>
      </c>
      <c r="C21" s="131" t="s">
        <v>39</v>
      </c>
      <c r="D21" s="131">
        <v>6</v>
      </c>
      <c r="E21" s="108">
        <v>3473</v>
      </c>
      <c r="F21" s="108">
        <v>20838</v>
      </c>
      <c r="G21" s="108" t="e">
        <f>VLOOKUP(B21,#REF!,4,0)</f>
        <v>#REF!</v>
      </c>
      <c r="H21" s="108" t="e">
        <f>VLOOKUP(B21,#REF!,8,0)</f>
        <v>#REF!</v>
      </c>
      <c r="I21" s="108" t="e">
        <f t="shared" si="33"/>
        <v>#REF!</v>
      </c>
      <c r="J21" s="132" t="e">
        <f t="shared" si="34"/>
        <v>#REF!</v>
      </c>
      <c r="K21" s="108"/>
      <c r="L21" s="108"/>
    </row>
    <row r="22" ht="49.5">
      <c r="A22" s="130">
        <v>20</v>
      </c>
      <c r="B22" s="130" t="s">
        <v>286</v>
      </c>
      <c r="C22" s="131" t="s">
        <v>39</v>
      </c>
      <c r="D22" s="131">
        <v>2</v>
      </c>
      <c r="E22" s="108">
        <v>3473</v>
      </c>
      <c r="F22" s="108">
        <v>6946</v>
      </c>
      <c r="G22" s="108" t="e">
        <f>VLOOKUP(B22,#REF!,4,0)</f>
        <v>#REF!</v>
      </c>
      <c r="H22" s="108" t="e">
        <f>VLOOKUP(B22,#REF!,8,0)</f>
        <v>#REF!</v>
      </c>
      <c r="I22" s="108" t="e">
        <f t="shared" si="33"/>
        <v>#REF!</v>
      </c>
      <c r="J22" s="132" t="e">
        <f t="shared" si="34"/>
        <v>#REF!</v>
      </c>
      <c r="K22" s="108"/>
      <c r="L22" s="108"/>
    </row>
    <row r="23" ht="16.5">
      <c r="A23" s="130">
        <v>21</v>
      </c>
      <c r="B23" s="130" t="s">
        <v>288</v>
      </c>
      <c r="C23" s="131" t="s">
        <v>39</v>
      </c>
      <c r="D23" s="131">
        <v>6</v>
      </c>
      <c r="E23" s="108">
        <v>14809.6</v>
      </c>
      <c r="F23" s="108">
        <v>88857.600000000006</v>
      </c>
      <c r="G23" s="108" t="e">
        <f>VLOOKUP(B23,#REF!,4,0)</f>
        <v>#REF!</v>
      </c>
      <c r="H23" s="108" t="e">
        <f>VLOOKUP(B23,#REF!,8,0)</f>
        <v>#REF!</v>
      </c>
      <c r="I23" s="108" t="e">
        <f t="shared" si="33"/>
        <v>#REF!</v>
      </c>
      <c r="J23" s="132" t="e">
        <f t="shared" si="34"/>
        <v>#REF!</v>
      </c>
      <c r="K23" s="108"/>
      <c r="L23" s="108"/>
    </row>
    <row r="24" ht="66">
      <c r="A24" s="130">
        <v>22</v>
      </c>
      <c r="B24" s="133" t="s">
        <v>293</v>
      </c>
      <c r="C24" s="131" t="s">
        <v>39</v>
      </c>
      <c r="D24" s="131">
        <v>2</v>
      </c>
      <c r="E24" s="108">
        <v>14324</v>
      </c>
      <c r="F24" s="108">
        <v>28648</v>
      </c>
      <c r="G24" s="108" t="e">
        <f>VLOOKUP(B24,#REF!,4,0)</f>
        <v>#REF!</v>
      </c>
      <c r="H24" s="108" t="e">
        <f>VLOOKUP(B24,#REF!,8,0)</f>
        <v>#REF!</v>
      </c>
      <c r="I24" s="108" t="e">
        <f t="shared" si="33"/>
        <v>#REF!</v>
      </c>
      <c r="J24" s="134" t="e">
        <f t="shared" si="34"/>
        <v>#REF!</v>
      </c>
      <c r="K24" s="108" t="s">
        <v>344</v>
      </c>
      <c r="L24" s="108" t="s">
        <v>329</v>
      </c>
    </row>
    <row r="25" ht="16.5">
      <c r="A25" s="130">
        <v>23</v>
      </c>
      <c r="B25" s="130" t="s">
        <v>292</v>
      </c>
      <c r="C25" s="131" t="s">
        <v>39</v>
      </c>
      <c r="D25" s="131">
        <v>6</v>
      </c>
      <c r="E25" s="108">
        <v>14080</v>
      </c>
      <c r="F25" s="108">
        <v>84480</v>
      </c>
      <c r="G25" s="108" t="e">
        <f>VLOOKUP(B25,#REF!,4,0)</f>
        <v>#REF!</v>
      </c>
      <c r="H25" s="108" t="e">
        <f>VLOOKUP(B25,#REF!,8,0)</f>
        <v>#REF!</v>
      </c>
      <c r="I25" s="108" t="e">
        <f t="shared" si="33"/>
        <v>#REF!</v>
      </c>
      <c r="J25" s="132" t="e">
        <f t="shared" si="34"/>
        <v>#REF!</v>
      </c>
      <c r="K25" s="108"/>
      <c r="L25" s="108"/>
    </row>
    <row r="26" ht="16.5">
      <c r="A26" s="130">
        <v>24</v>
      </c>
      <c r="B26" s="130" t="s">
        <v>290</v>
      </c>
      <c r="C26" s="131" t="s">
        <v>39</v>
      </c>
      <c r="D26" s="131">
        <v>2</v>
      </c>
      <c r="E26" s="108">
        <v>13103</v>
      </c>
      <c r="F26" s="108">
        <v>26206</v>
      </c>
      <c r="G26" s="108" t="e">
        <f>VLOOKUP(B26,#REF!,4,0)</f>
        <v>#REF!</v>
      </c>
      <c r="H26" s="108" t="e">
        <f>VLOOKUP(B26,#REF!,8,0)</f>
        <v>#REF!</v>
      </c>
      <c r="I26" s="108" t="e">
        <f t="shared" si="33"/>
        <v>#REF!</v>
      </c>
      <c r="J26" s="132" t="e">
        <f t="shared" si="34"/>
        <v>#REF!</v>
      </c>
      <c r="K26" s="108"/>
      <c r="L26" s="108"/>
    </row>
    <row r="27" ht="16.5">
      <c r="A27" s="130">
        <v>25</v>
      </c>
      <c r="B27" s="130" t="s">
        <v>287</v>
      </c>
      <c r="C27" s="131" t="s">
        <v>39</v>
      </c>
      <c r="D27" s="131">
        <v>4</v>
      </c>
      <c r="E27" s="108">
        <v>5653</v>
      </c>
      <c r="F27" s="108">
        <v>22612</v>
      </c>
      <c r="G27" s="108" t="e">
        <f>VLOOKUP(B27,#REF!,4,0)</f>
        <v>#REF!</v>
      </c>
      <c r="H27" s="108" t="e">
        <f>VLOOKUP(B27,#REF!,8,0)</f>
        <v>#REF!</v>
      </c>
      <c r="I27" s="108" t="e">
        <f t="shared" si="33"/>
        <v>#REF!</v>
      </c>
      <c r="J27" s="132" t="e">
        <f t="shared" si="34"/>
        <v>#REF!</v>
      </c>
      <c r="K27" s="108"/>
      <c r="L27" s="108"/>
    </row>
    <row r="28" ht="16.5">
      <c r="A28" s="130">
        <v>26</v>
      </c>
      <c r="B28" s="130" t="s">
        <v>294</v>
      </c>
      <c r="C28" s="131" t="s">
        <v>39</v>
      </c>
      <c r="D28" s="131">
        <v>1</v>
      </c>
      <c r="E28" s="108">
        <v>5628</v>
      </c>
      <c r="F28" s="108">
        <v>5628</v>
      </c>
      <c r="G28" s="108" t="e">
        <f>VLOOKUP(B28,#REF!,4,0)</f>
        <v>#REF!</v>
      </c>
      <c r="H28" s="108" t="e">
        <f>VLOOKUP(B28,#REF!,8,0)</f>
        <v>#REF!</v>
      </c>
      <c r="I28" s="108" t="e">
        <f t="shared" si="33"/>
        <v>#REF!</v>
      </c>
      <c r="J28" s="132" t="e">
        <f t="shared" si="34"/>
        <v>#REF!</v>
      </c>
      <c r="K28" s="108"/>
      <c r="L28" s="108"/>
    </row>
    <row r="29" ht="16.5">
      <c r="A29" s="130">
        <v>27</v>
      </c>
      <c r="B29" s="130" t="s">
        <v>295</v>
      </c>
      <c r="C29" s="131" t="s">
        <v>39</v>
      </c>
      <c r="D29" s="131">
        <v>1</v>
      </c>
      <c r="E29" s="108">
        <v>6114.25</v>
      </c>
      <c r="F29" s="108">
        <v>6114.25</v>
      </c>
      <c r="G29" s="108" t="e">
        <f>VLOOKUP(B29,#REF!,4,0)</f>
        <v>#REF!</v>
      </c>
      <c r="H29" s="108" t="e">
        <f>VLOOKUP(B29,#REF!,8,0)</f>
        <v>#REF!</v>
      </c>
      <c r="I29" s="108" t="e">
        <f t="shared" si="33"/>
        <v>#REF!</v>
      </c>
      <c r="J29" s="132" t="e">
        <f t="shared" si="34"/>
        <v>#REF!</v>
      </c>
      <c r="K29" s="108"/>
      <c r="L29" s="108"/>
    </row>
    <row r="30" ht="49.5">
      <c r="A30" s="130">
        <v>28</v>
      </c>
      <c r="B30" s="133" t="s">
        <v>261</v>
      </c>
      <c r="C30" s="131" t="s">
        <v>39</v>
      </c>
      <c r="D30" s="131">
        <v>22</v>
      </c>
      <c r="E30" s="108">
        <v>1497</v>
      </c>
      <c r="F30" s="108">
        <v>32934</v>
      </c>
      <c r="G30" s="108" t="e">
        <f>VLOOKUP(B30,#REF!,4,0)</f>
        <v>#REF!</v>
      </c>
      <c r="H30" s="108" t="e">
        <f>VLOOKUP(B30,#REF!,8,0)</f>
        <v>#REF!</v>
      </c>
      <c r="I30" s="108" t="e">
        <f t="shared" si="33"/>
        <v>#REF!</v>
      </c>
      <c r="J30" s="134" t="e">
        <f t="shared" si="34"/>
        <v>#REF!</v>
      </c>
      <c r="K30" s="108">
        <v>18</v>
      </c>
      <c r="L30" s="108"/>
    </row>
    <row r="31" ht="49.5">
      <c r="A31" s="130">
        <v>29</v>
      </c>
      <c r="B31" s="133" t="s">
        <v>259</v>
      </c>
      <c r="C31" s="131" t="s">
        <v>39</v>
      </c>
      <c r="D31" s="131">
        <v>30</v>
      </c>
      <c r="E31" s="108">
        <v>917</v>
      </c>
      <c r="F31" s="108">
        <v>27510</v>
      </c>
      <c r="G31" s="108" t="e">
        <f>VLOOKUP(B31,#REF!,4,0)</f>
        <v>#REF!</v>
      </c>
      <c r="H31" s="108" t="e">
        <f>VLOOKUP(B31,#REF!,8,0)</f>
        <v>#REF!</v>
      </c>
      <c r="I31" s="108" t="e">
        <f t="shared" si="33"/>
        <v>#REF!</v>
      </c>
      <c r="J31" s="134" t="e">
        <f t="shared" si="34"/>
        <v>#REF!</v>
      </c>
      <c r="K31" s="108">
        <v>26</v>
      </c>
      <c r="L31" s="108"/>
    </row>
    <row r="32" ht="49.5">
      <c r="A32" s="130">
        <v>30</v>
      </c>
      <c r="B32" s="133" t="s">
        <v>267</v>
      </c>
      <c r="C32" s="131" t="s">
        <v>39</v>
      </c>
      <c r="D32" s="131">
        <v>14</v>
      </c>
      <c r="E32" s="108">
        <v>823</v>
      </c>
      <c r="F32" s="108">
        <v>11522</v>
      </c>
      <c r="G32" s="108" t="e">
        <f>VLOOKUP(B32,#REF!,4,0)</f>
        <v>#REF!</v>
      </c>
      <c r="H32" s="108" t="e">
        <f>VLOOKUP(B32,#REF!,8,0)</f>
        <v>#REF!</v>
      </c>
      <c r="I32" s="108" t="e">
        <f t="shared" si="33"/>
        <v>#REF!</v>
      </c>
      <c r="J32" s="134" t="e">
        <f t="shared" si="34"/>
        <v>#REF!</v>
      </c>
      <c r="K32" s="108">
        <v>0</v>
      </c>
      <c r="L32" s="108"/>
    </row>
    <row r="33" ht="49.5">
      <c r="A33" s="130">
        <v>31</v>
      </c>
      <c r="B33" s="130" t="s">
        <v>266</v>
      </c>
      <c r="C33" s="131" t="s">
        <v>39</v>
      </c>
      <c r="D33" s="131">
        <v>16</v>
      </c>
      <c r="E33" s="108">
        <v>771</v>
      </c>
      <c r="F33" s="108">
        <v>12336</v>
      </c>
      <c r="G33" s="108" t="e">
        <f>VLOOKUP(B33,#REF!,4,0)</f>
        <v>#REF!</v>
      </c>
      <c r="H33" s="108" t="e">
        <f>VLOOKUP(B33,#REF!,8,0)</f>
        <v>#REF!</v>
      </c>
      <c r="I33" s="108" t="e">
        <f t="shared" si="33"/>
        <v>#REF!</v>
      </c>
      <c r="J33" s="132" t="e">
        <f t="shared" si="34"/>
        <v>#REF!</v>
      </c>
      <c r="K33" s="108"/>
      <c r="L33" s="108"/>
    </row>
    <row r="34" ht="49.5">
      <c r="A34" s="130">
        <v>32</v>
      </c>
      <c r="B34" s="130" t="s">
        <v>265</v>
      </c>
      <c r="C34" s="131" t="s">
        <v>39</v>
      </c>
      <c r="D34" s="131">
        <v>90</v>
      </c>
      <c r="E34" s="108">
        <v>781</v>
      </c>
      <c r="F34" s="108">
        <v>70290</v>
      </c>
      <c r="G34" s="108" t="e">
        <f>VLOOKUP(B34,#REF!,4,0)</f>
        <v>#REF!</v>
      </c>
      <c r="H34" s="108" t="e">
        <f>VLOOKUP(B34,#REF!,8,0)</f>
        <v>#REF!</v>
      </c>
      <c r="I34" s="108" t="e">
        <f t="shared" si="33"/>
        <v>#REF!</v>
      </c>
      <c r="J34" s="132" t="e">
        <f t="shared" si="34"/>
        <v>#REF!</v>
      </c>
      <c r="K34" s="108"/>
      <c r="L34" s="108"/>
    </row>
    <row r="35" ht="49.5">
      <c r="A35" s="130">
        <v>33</v>
      </c>
      <c r="B35" s="133" t="s">
        <v>263</v>
      </c>
      <c r="C35" s="131" t="s">
        <v>39</v>
      </c>
      <c r="D35" s="131">
        <v>24</v>
      </c>
      <c r="E35" s="108">
        <v>663</v>
      </c>
      <c r="F35" s="108">
        <v>15912</v>
      </c>
      <c r="G35" s="108" t="e">
        <f>VLOOKUP(B35,#REF!,4,0)</f>
        <v>#REF!</v>
      </c>
      <c r="H35" s="108" t="e">
        <f>VLOOKUP(B35,#REF!,8,0)</f>
        <v>#REF!</v>
      </c>
      <c r="I35" s="108" t="e">
        <f t="shared" si="33"/>
        <v>#REF!</v>
      </c>
      <c r="J35" s="134" t="e">
        <f t="shared" si="34"/>
        <v>#REF!</v>
      </c>
      <c r="K35" s="108">
        <v>0</v>
      </c>
      <c r="L35" s="108"/>
    </row>
    <row r="36" ht="49.5">
      <c r="A36" s="130">
        <v>34</v>
      </c>
      <c r="B36" s="133" t="s">
        <v>251</v>
      </c>
      <c r="C36" s="131" t="s">
        <v>39</v>
      </c>
      <c r="D36" s="131">
        <v>136</v>
      </c>
      <c r="E36" s="108">
        <v>1168</v>
      </c>
      <c r="F36" s="108">
        <v>158848</v>
      </c>
      <c r="G36" s="108" t="e">
        <f>VLOOKUP(B36,#REF!,4,0)</f>
        <v>#REF!</v>
      </c>
      <c r="H36" s="108" t="e">
        <f>VLOOKUP(B36,#REF!,8,0)</f>
        <v>#REF!</v>
      </c>
      <c r="I36" s="108" t="e">
        <f t="shared" si="33"/>
        <v>#REF!</v>
      </c>
      <c r="J36" s="134" t="e">
        <f t="shared" si="34"/>
        <v>#REF!</v>
      </c>
      <c r="K36" s="108">
        <v>112</v>
      </c>
      <c r="L36" s="108"/>
    </row>
    <row r="37" ht="49.5">
      <c r="A37" s="130">
        <v>35</v>
      </c>
      <c r="B37" s="133" t="s">
        <v>249</v>
      </c>
      <c r="C37" s="131" t="s">
        <v>39</v>
      </c>
      <c r="D37" s="131">
        <v>14</v>
      </c>
      <c r="E37" s="108">
        <v>693</v>
      </c>
      <c r="F37" s="108">
        <v>9702</v>
      </c>
      <c r="G37" s="108" t="e">
        <f>VLOOKUP(B37,#REF!,4,0)</f>
        <v>#REF!</v>
      </c>
      <c r="H37" s="108" t="e">
        <f>VLOOKUP(B37,#REF!,8,0)</f>
        <v>#REF!</v>
      </c>
      <c r="I37" s="108" t="e">
        <f t="shared" si="33"/>
        <v>#REF!</v>
      </c>
      <c r="J37" s="134" t="e">
        <f t="shared" si="34"/>
        <v>#REF!</v>
      </c>
      <c r="K37" s="108">
        <v>0</v>
      </c>
      <c r="L37" s="108"/>
    </row>
    <row r="38" ht="49.5">
      <c r="A38" s="130">
        <v>36</v>
      </c>
      <c r="B38" s="133" t="s">
        <v>247</v>
      </c>
      <c r="C38" s="131" t="s">
        <v>39</v>
      </c>
      <c r="D38" s="131">
        <v>38</v>
      </c>
      <c r="E38" s="108">
        <v>483</v>
      </c>
      <c r="F38" s="108">
        <v>18354</v>
      </c>
      <c r="G38" s="108" t="e">
        <f>VLOOKUP(B38,#REF!,4,0)</f>
        <v>#REF!</v>
      </c>
      <c r="H38" s="108" t="e">
        <f>VLOOKUP(B38,#REF!,8,0)</f>
        <v>#REF!</v>
      </c>
      <c r="I38" s="108" t="e">
        <f t="shared" si="33"/>
        <v>#REF!</v>
      </c>
      <c r="J38" s="134" t="e">
        <f t="shared" si="34"/>
        <v>#REF!</v>
      </c>
      <c r="K38" s="108">
        <v>0</v>
      </c>
      <c r="L38" s="108"/>
    </row>
    <row r="39" ht="49.5">
      <c r="A39" s="130">
        <v>37</v>
      </c>
      <c r="B39" s="133" t="s">
        <v>257</v>
      </c>
      <c r="C39" s="131" t="s">
        <v>39</v>
      </c>
      <c r="D39" s="131">
        <v>16</v>
      </c>
      <c r="E39" s="108">
        <v>418</v>
      </c>
      <c r="F39" s="108">
        <v>6688</v>
      </c>
      <c r="G39" s="108" t="e">
        <f>VLOOKUP(B39,#REF!,4,0)</f>
        <v>#REF!</v>
      </c>
      <c r="H39" s="108" t="e">
        <f>VLOOKUP(B39,#REF!,8,0)</f>
        <v>#REF!</v>
      </c>
      <c r="I39" s="108" t="e">
        <f t="shared" si="33"/>
        <v>#REF!</v>
      </c>
      <c r="J39" s="134" t="e">
        <f t="shared" si="34"/>
        <v>#REF!</v>
      </c>
      <c r="K39" s="108">
        <v>0</v>
      </c>
      <c r="L39" s="108"/>
    </row>
    <row r="40" ht="49.5">
      <c r="A40" s="130">
        <v>38</v>
      </c>
      <c r="B40" s="130" t="s">
        <v>256</v>
      </c>
      <c r="C40" s="131" t="s">
        <v>331</v>
      </c>
      <c r="D40" s="131">
        <v>56</v>
      </c>
      <c r="E40" s="108">
        <v>393</v>
      </c>
      <c r="F40" s="108">
        <v>22008</v>
      </c>
      <c r="G40" s="108" t="e">
        <f>VLOOKUP(B40,#REF!,4,0)</f>
        <v>#REF!</v>
      </c>
      <c r="H40" s="108" t="e">
        <f>VLOOKUP(B40,#REF!,8,0)</f>
        <v>#REF!</v>
      </c>
      <c r="I40" s="108" t="e">
        <f t="shared" si="33"/>
        <v>#REF!</v>
      </c>
      <c r="J40" s="132" t="e">
        <f t="shared" si="34"/>
        <v>#REF!</v>
      </c>
      <c r="K40" s="108"/>
      <c r="L40" s="108"/>
    </row>
    <row r="41" ht="49.5">
      <c r="A41" s="130">
        <v>39</v>
      </c>
      <c r="B41" s="133" t="s">
        <v>254</v>
      </c>
      <c r="C41" s="131" t="s">
        <v>331</v>
      </c>
      <c r="D41" s="131">
        <v>178</v>
      </c>
      <c r="E41" s="108">
        <v>338</v>
      </c>
      <c r="F41" s="108">
        <v>60164</v>
      </c>
      <c r="G41" s="108" t="e">
        <f>VLOOKUP(B41,#REF!,4,0)</f>
        <v>#REF!</v>
      </c>
      <c r="H41" s="108" t="e">
        <f>VLOOKUP(B41,#REF!,8,0)</f>
        <v>#REF!</v>
      </c>
      <c r="I41" s="108" t="e">
        <f t="shared" si="33"/>
        <v>#REF!</v>
      </c>
      <c r="J41" s="134" t="e">
        <f t="shared" si="34"/>
        <v>#REF!</v>
      </c>
      <c r="K41" s="108">
        <v>166</v>
      </c>
      <c r="L41" s="108"/>
    </row>
    <row r="42" ht="49.5">
      <c r="A42" s="130">
        <v>40</v>
      </c>
      <c r="B42" s="130" t="s">
        <v>253</v>
      </c>
      <c r="C42" s="131" t="s">
        <v>331</v>
      </c>
      <c r="D42" s="131">
        <v>32</v>
      </c>
      <c r="E42" s="108">
        <v>328</v>
      </c>
      <c r="F42" s="108">
        <v>10496</v>
      </c>
      <c r="G42" s="108" t="e">
        <f>VLOOKUP(B42,#REF!,4,0)</f>
        <v>#REF!</v>
      </c>
      <c r="H42" s="108" t="e">
        <f>VLOOKUP(B42,#REF!,8,0)</f>
        <v>#REF!</v>
      </c>
      <c r="I42" s="108" t="e">
        <f t="shared" si="33"/>
        <v>#REF!</v>
      </c>
      <c r="J42" s="132" t="e">
        <f t="shared" si="34"/>
        <v>#REF!</v>
      </c>
      <c r="K42" s="108"/>
      <c r="L42" s="108"/>
    </row>
    <row r="43" ht="16.5">
      <c r="A43" s="108" t="s">
        <v>345</v>
      </c>
      <c r="B43" s="108"/>
      <c r="C43" s="108"/>
      <c r="D43" s="108"/>
      <c r="E43" s="108"/>
      <c r="F43" s="128" t="s">
        <v>346</v>
      </c>
      <c r="G43" s="128"/>
      <c r="H43" s="128"/>
      <c r="I43" s="128">
        <f t="shared" si="33"/>
        <v>0</v>
      </c>
      <c r="J43" s="135"/>
      <c r="K43" s="128"/>
      <c r="L43" s="128"/>
    </row>
    <row r="45" ht="21">
      <c r="B45" s="136" t="s">
        <v>347</v>
      </c>
      <c r="C45" s="136"/>
      <c r="D45" s="136"/>
    </row>
    <row r="46" ht="16.5">
      <c r="B46" s="137" t="s">
        <v>274</v>
      </c>
      <c r="C46" s="138" t="s">
        <v>331</v>
      </c>
      <c r="D46" s="139">
        <v>4</v>
      </c>
      <c r="G46" s="140" t="s">
        <v>348</v>
      </c>
      <c r="L46" t="s">
        <v>329</v>
      </c>
    </row>
    <row r="47" ht="16.5">
      <c r="B47" s="137" t="s">
        <v>276</v>
      </c>
      <c r="C47" s="138" t="s">
        <v>331</v>
      </c>
      <c r="D47" s="139">
        <v>4</v>
      </c>
      <c r="G47" s="140" t="s">
        <v>349</v>
      </c>
      <c r="L47" t="s">
        <v>329</v>
      </c>
    </row>
  </sheetData>
  <autoFilter ref="A2:L43"/>
  <mergeCells count="4">
    <mergeCell ref="B1:F1"/>
    <mergeCell ref="G1:J1"/>
    <mergeCell ref="A43:E43"/>
    <mergeCell ref="B45:D45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0" copies="1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uplicateValues" priority="1" id="{00B2009E-0078-4EE8-B150-00B800BB009B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B:B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1">
    <tabColor theme="7" tint="0.79998168889431442"/>
    <outlinePr applyStyles="0" summaryBelow="0" summaryRight="0" showOutlineSymbols="1"/>
    <pageSetUpPr autoPageBreaks="0" fitToPage="1"/>
  </sheetPr>
  <sheetViews>
    <sheetView zoomScale="100" workbookViewId="0">
      <pane ySplit="15" topLeftCell="A16" activePane="bottomLeft" state="frozen"/>
      <selection activeCell="A1" activeCellId="0" sqref="A1"/>
    </sheetView>
  </sheetViews>
  <sheetFormatPr defaultRowHeight="12.75" outlineLevelRow="4"/>
  <cols>
    <col customWidth="1" min="1" max="1" style="141" width="54.625"/>
    <col customWidth="1" min="2" max="2" style="141" width="9.75"/>
    <col customWidth="1" min="3" max="3" style="141" width="14.625"/>
    <col customWidth="1" min="4" max="9" style="141" width="16"/>
    <col customWidth="1" min="10" max="256" style="141" width="9.125"/>
    <col customWidth="1" min="257" max="257" style="141" width="30"/>
    <col customWidth="1" min="258" max="258" style="141" width="9.75"/>
    <col customWidth="1" min="259" max="259" style="141" width="14.625"/>
    <col customWidth="1" min="260" max="265" style="141" width="16"/>
    <col min="266" max="512" style="141" width="9.125"/>
    <col customWidth="1" min="513" max="513" style="141" width="30"/>
    <col customWidth="1" min="514" max="514" style="141" width="9.75"/>
    <col customWidth="1" min="515" max="515" style="141" width="14.625"/>
    <col customWidth="1" min="516" max="521" style="141" width="16"/>
    <col min="522" max="768" style="141" width="9.125"/>
    <col customWidth="1" min="769" max="769" style="141" width="30"/>
    <col customWidth="1" min="770" max="770" style="141" width="9.75"/>
    <col customWidth="1" min="771" max="771" style="141" width="14.625"/>
    <col customWidth="1" min="772" max="777" style="141" width="16"/>
    <col min="778" max="1024" style="141" width="9.125"/>
    <col customWidth="1" min="1025" max="1025" style="141" width="30"/>
    <col customWidth="1" min="1026" max="1026" style="141" width="9.75"/>
    <col customWidth="1" min="1027" max="1027" style="141" width="14.625"/>
    <col customWidth="1" min="1028" max="1033" style="141" width="16"/>
    <col min="1034" max="1280" style="141" width="9.125"/>
    <col customWidth="1" min="1281" max="1281" style="141" width="30"/>
    <col customWidth="1" min="1282" max="1282" style="141" width="9.75"/>
    <col customWidth="1" min="1283" max="1283" style="141" width="14.625"/>
    <col customWidth="1" min="1284" max="1289" style="141" width="16"/>
    <col min="1290" max="1536" style="141" width="9.125"/>
    <col customWidth="1" min="1537" max="1537" style="141" width="30"/>
    <col customWidth="1" min="1538" max="1538" style="141" width="9.75"/>
    <col customWidth="1" min="1539" max="1539" style="141" width="14.625"/>
    <col customWidth="1" min="1540" max="1545" style="141" width="16"/>
    <col min="1546" max="1792" style="141" width="9.125"/>
    <col customWidth="1" min="1793" max="1793" style="141" width="30"/>
    <col customWidth="1" min="1794" max="1794" style="141" width="9.75"/>
    <col customWidth="1" min="1795" max="1795" style="141" width="14.625"/>
    <col customWidth="1" min="1796" max="1801" style="141" width="16"/>
    <col min="1802" max="2048" style="141" width="9.125"/>
    <col customWidth="1" min="2049" max="2049" style="141" width="30"/>
    <col customWidth="1" min="2050" max="2050" style="141" width="9.75"/>
    <col customWidth="1" min="2051" max="2051" style="141" width="14.625"/>
    <col customWidth="1" min="2052" max="2057" style="141" width="16"/>
    <col min="2058" max="2304" style="141" width="9.125"/>
    <col customWidth="1" min="2305" max="2305" style="141" width="30"/>
    <col customWidth="1" min="2306" max="2306" style="141" width="9.75"/>
    <col customWidth="1" min="2307" max="2307" style="141" width="14.625"/>
    <col customWidth="1" min="2308" max="2313" style="141" width="16"/>
    <col min="2314" max="2560" style="141" width="9.125"/>
    <col customWidth="1" min="2561" max="2561" style="141" width="30"/>
    <col customWidth="1" min="2562" max="2562" style="141" width="9.75"/>
    <col customWidth="1" min="2563" max="2563" style="141" width="14.625"/>
    <col customWidth="1" min="2564" max="2569" style="141" width="16"/>
    <col min="2570" max="2816" style="141" width="9.125"/>
    <col customWidth="1" min="2817" max="2817" style="141" width="30"/>
    <col customWidth="1" min="2818" max="2818" style="141" width="9.75"/>
    <col customWidth="1" min="2819" max="2819" style="141" width="14.625"/>
    <col customWidth="1" min="2820" max="2825" style="141" width="16"/>
    <col min="2826" max="3072" style="141" width="9.125"/>
    <col customWidth="1" min="3073" max="3073" style="141" width="30"/>
    <col customWidth="1" min="3074" max="3074" style="141" width="9.75"/>
    <col customWidth="1" min="3075" max="3075" style="141" width="14.625"/>
    <col customWidth="1" min="3076" max="3081" style="141" width="16"/>
    <col min="3082" max="3328" style="141" width="9.125"/>
    <col customWidth="1" min="3329" max="3329" style="141" width="30"/>
    <col customWidth="1" min="3330" max="3330" style="141" width="9.75"/>
    <col customWidth="1" min="3331" max="3331" style="141" width="14.625"/>
    <col customWidth="1" min="3332" max="3337" style="141" width="16"/>
    <col min="3338" max="3584" style="141" width="9.125"/>
    <col customWidth="1" min="3585" max="3585" style="141" width="30"/>
    <col customWidth="1" min="3586" max="3586" style="141" width="9.75"/>
    <col customWidth="1" min="3587" max="3587" style="141" width="14.625"/>
    <col customWidth="1" min="3588" max="3593" style="141" width="16"/>
    <col min="3594" max="3840" style="141" width="9.125"/>
    <col customWidth="1" min="3841" max="3841" style="141" width="30"/>
    <col customWidth="1" min="3842" max="3842" style="141" width="9.75"/>
    <col customWidth="1" min="3843" max="3843" style="141" width="14.625"/>
    <col customWidth="1" min="3844" max="3849" style="141" width="16"/>
    <col min="3850" max="4096" style="141" width="9.125"/>
    <col customWidth="1" min="4097" max="4097" style="141" width="30"/>
    <col customWidth="1" min="4098" max="4098" style="141" width="9.75"/>
    <col customWidth="1" min="4099" max="4099" style="141" width="14.625"/>
    <col customWidth="1" min="4100" max="4105" style="141" width="16"/>
    <col min="4106" max="4352" style="141" width="9.125"/>
    <col customWidth="1" min="4353" max="4353" style="141" width="30"/>
    <col customWidth="1" min="4354" max="4354" style="141" width="9.75"/>
    <col customWidth="1" min="4355" max="4355" style="141" width="14.625"/>
    <col customWidth="1" min="4356" max="4361" style="141" width="16"/>
    <col min="4362" max="4608" style="141" width="9.125"/>
    <col customWidth="1" min="4609" max="4609" style="141" width="30"/>
    <col customWidth="1" min="4610" max="4610" style="141" width="9.75"/>
    <col customWidth="1" min="4611" max="4611" style="141" width="14.625"/>
    <col customWidth="1" min="4612" max="4617" style="141" width="16"/>
    <col min="4618" max="4864" style="141" width="9.125"/>
    <col customWidth="1" min="4865" max="4865" style="141" width="30"/>
    <col customWidth="1" min="4866" max="4866" style="141" width="9.75"/>
    <col customWidth="1" min="4867" max="4867" style="141" width="14.625"/>
    <col customWidth="1" min="4868" max="4873" style="141" width="16"/>
    <col min="4874" max="5120" style="141" width="9.125"/>
    <col customWidth="1" min="5121" max="5121" style="141" width="30"/>
    <col customWidth="1" min="5122" max="5122" style="141" width="9.75"/>
    <col customWidth="1" min="5123" max="5123" style="141" width="14.625"/>
    <col customWidth="1" min="5124" max="5129" style="141" width="16"/>
    <col min="5130" max="5376" style="141" width="9.125"/>
    <col customWidth="1" min="5377" max="5377" style="141" width="30"/>
    <col customWidth="1" min="5378" max="5378" style="141" width="9.75"/>
    <col customWidth="1" min="5379" max="5379" style="141" width="14.625"/>
    <col customWidth="1" min="5380" max="5385" style="141" width="16"/>
    <col min="5386" max="5632" style="141" width="9.125"/>
    <col customWidth="1" min="5633" max="5633" style="141" width="30"/>
    <col customWidth="1" min="5634" max="5634" style="141" width="9.75"/>
    <col customWidth="1" min="5635" max="5635" style="141" width="14.625"/>
    <col customWidth="1" min="5636" max="5641" style="141" width="16"/>
    <col min="5642" max="5888" style="141" width="9.125"/>
    <col customWidth="1" min="5889" max="5889" style="141" width="30"/>
    <col customWidth="1" min="5890" max="5890" style="141" width="9.75"/>
    <col customWidth="1" min="5891" max="5891" style="141" width="14.625"/>
    <col customWidth="1" min="5892" max="5897" style="141" width="16"/>
    <col min="5898" max="6144" style="141" width="9.125"/>
    <col customWidth="1" min="6145" max="6145" style="141" width="30"/>
    <col customWidth="1" min="6146" max="6146" style="141" width="9.75"/>
    <col customWidth="1" min="6147" max="6147" style="141" width="14.625"/>
    <col customWidth="1" min="6148" max="6153" style="141" width="16"/>
    <col min="6154" max="6400" style="141" width="9.125"/>
    <col customWidth="1" min="6401" max="6401" style="141" width="30"/>
    <col customWidth="1" min="6402" max="6402" style="141" width="9.75"/>
    <col customWidth="1" min="6403" max="6403" style="141" width="14.625"/>
    <col customWidth="1" min="6404" max="6409" style="141" width="16"/>
    <col min="6410" max="6656" style="141" width="9.125"/>
    <col customWidth="1" min="6657" max="6657" style="141" width="30"/>
    <col customWidth="1" min="6658" max="6658" style="141" width="9.75"/>
    <col customWidth="1" min="6659" max="6659" style="141" width="14.625"/>
    <col customWidth="1" min="6660" max="6665" style="141" width="16"/>
    <col min="6666" max="6912" style="141" width="9.125"/>
    <col customWidth="1" min="6913" max="6913" style="141" width="30"/>
    <col customWidth="1" min="6914" max="6914" style="141" width="9.75"/>
    <col customWidth="1" min="6915" max="6915" style="141" width="14.625"/>
    <col customWidth="1" min="6916" max="6921" style="141" width="16"/>
    <col min="6922" max="7168" style="141" width="9.125"/>
    <col customWidth="1" min="7169" max="7169" style="141" width="30"/>
    <col customWidth="1" min="7170" max="7170" style="141" width="9.75"/>
    <col customWidth="1" min="7171" max="7171" style="141" width="14.625"/>
    <col customWidth="1" min="7172" max="7177" style="141" width="16"/>
    <col min="7178" max="7424" style="141" width="9.125"/>
    <col customWidth="1" min="7425" max="7425" style="141" width="30"/>
    <col customWidth="1" min="7426" max="7426" style="141" width="9.75"/>
    <col customWidth="1" min="7427" max="7427" style="141" width="14.625"/>
    <col customWidth="1" min="7428" max="7433" style="141" width="16"/>
    <col min="7434" max="7680" style="141" width="9.125"/>
    <col customWidth="1" min="7681" max="7681" style="141" width="30"/>
    <col customWidth="1" min="7682" max="7682" style="141" width="9.75"/>
    <col customWidth="1" min="7683" max="7683" style="141" width="14.625"/>
    <col customWidth="1" min="7684" max="7689" style="141" width="16"/>
    <col min="7690" max="7936" style="141" width="9.125"/>
    <col customWidth="1" min="7937" max="7937" style="141" width="30"/>
    <col customWidth="1" min="7938" max="7938" style="141" width="9.75"/>
    <col customWidth="1" min="7939" max="7939" style="141" width="14.625"/>
    <col customWidth="1" min="7940" max="7945" style="141" width="16"/>
    <col min="7946" max="8192" style="141" width="9.125"/>
    <col customWidth="1" min="8193" max="8193" style="141" width="30"/>
    <col customWidth="1" min="8194" max="8194" style="141" width="9.75"/>
    <col customWidth="1" min="8195" max="8195" style="141" width="14.625"/>
    <col customWidth="1" min="8196" max="8201" style="141" width="16"/>
    <col min="8202" max="8448" style="141" width="9.125"/>
    <col customWidth="1" min="8449" max="8449" style="141" width="30"/>
    <col customWidth="1" min="8450" max="8450" style="141" width="9.75"/>
    <col customWidth="1" min="8451" max="8451" style="141" width="14.625"/>
    <col customWidth="1" min="8452" max="8457" style="141" width="16"/>
    <col min="8458" max="8704" style="141" width="9.125"/>
    <col customWidth="1" min="8705" max="8705" style="141" width="30"/>
    <col customWidth="1" min="8706" max="8706" style="141" width="9.75"/>
    <col customWidth="1" min="8707" max="8707" style="141" width="14.625"/>
    <col customWidth="1" min="8708" max="8713" style="141" width="16"/>
    <col min="8714" max="8960" style="141" width="9.125"/>
    <col customWidth="1" min="8961" max="8961" style="141" width="30"/>
    <col customWidth="1" min="8962" max="8962" style="141" width="9.75"/>
    <col customWidth="1" min="8963" max="8963" style="141" width="14.625"/>
    <col customWidth="1" min="8964" max="8969" style="141" width="16"/>
    <col min="8970" max="9216" style="141" width="9.125"/>
    <col customWidth="1" min="9217" max="9217" style="141" width="30"/>
    <col customWidth="1" min="9218" max="9218" style="141" width="9.75"/>
    <col customWidth="1" min="9219" max="9219" style="141" width="14.625"/>
    <col customWidth="1" min="9220" max="9225" style="141" width="16"/>
    <col min="9226" max="9472" style="141" width="9.125"/>
    <col customWidth="1" min="9473" max="9473" style="141" width="30"/>
    <col customWidth="1" min="9474" max="9474" style="141" width="9.75"/>
    <col customWidth="1" min="9475" max="9475" style="141" width="14.625"/>
    <col customWidth="1" min="9476" max="9481" style="141" width="16"/>
    <col min="9482" max="9728" style="141" width="9.125"/>
    <col customWidth="1" min="9729" max="9729" style="141" width="30"/>
    <col customWidth="1" min="9730" max="9730" style="141" width="9.75"/>
    <col customWidth="1" min="9731" max="9731" style="141" width="14.625"/>
    <col customWidth="1" min="9732" max="9737" style="141" width="16"/>
    <col min="9738" max="9984" style="141" width="9.125"/>
    <col customWidth="1" min="9985" max="9985" style="141" width="30"/>
    <col customWidth="1" min="9986" max="9986" style="141" width="9.75"/>
    <col customWidth="1" min="9987" max="9987" style="141" width="14.625"/>
    <col customWidth="1" min="9988" max="9993" style="141" width="16"/>
    <col min="9994" max="10240" style="141" width="9.125"/>
    <col customWidth="1" min="10241" max="10241" style="141" width="30"/>
    <col customWidth="1" min="10242" max="10242" style="141" width="9.75"/>
    <col customWidth="1" min="10243" max="10243" style="141" width="14.625"/>
    <col customWidth="1" min="10244" max="10249" style="141" width="16"/>
    <col min="10250" max="10496" style="141" width="9.125"/>
    <col customWidth="1" min="10497" max="10497" style="141" width="30"/>
    <col customWidth="1" min="10498" max="10498" style="141" width="9.75"/>
    <col customWidth="1" min="10499" max="10499" style="141" width="14.625"/>
    <col customWidth="1" min="10500" max="10505" style="141" width="16"/>
    <col min="10506" max="10752" style="141" width="9.125"/>
    <col customWidth="1" min="10753" max="10753" style="141" width="30"/>
    <col customWidth="1" min="10754" max="10754" style="141" width="9.75"/>
    <col customWidth="1" min="10755" max="10755" style="141" width="14.625"/>
    <col customWidth="1" min="10756" max="10761" style="141" width="16"/>
    <col min="10762" max="11008" style="141" width="9.125"/>
    <col customWidth="1" min="11009" max="11009" style="141" width="30"/>
    <col customWidth="1" min="11010" max="11010" style="141" width="9.75"/>
    <col customWidth="1" min="11011" max="11011" style="141" width="14.625"/>
    <col customWidth="1" min="11012" max="11017" style="141" width="16"/>
    <col min="11018" max="11264" style="141" width="9.125"/>
    <col customWidth="1" min="11265" max="11265" style="141" width="30"/>
    <col customWidth="1" min="11266" max="11266" style="141" width="9.75"/>
    <col customWidth="1" min="11267" max="11267" style="141" width="14.625"/>
    <col customWidth="1" min="11268" max="11273" style="141" width="16"/>
    <col min="11274" max="11520" style="141" width="9.125"/>
    <col customWidth="1" min="11521" max="11521" style="141" width="30"/>
    <col customWidth="1" min="11522" max="11522" style="141" width="9.75"/>
    <col customWidth="1" min="11523" max="11523" style="141" width="14.625"/>
    <col customWidth="1" min="11524" max="11529" style="141" width="16"/>
    <col min="11530" max="11776" style="141" width="9.125"/>
    <col customWidth="1" min="11777" max="11777" style="141" width="30"/>
    <col customWidth="1" min="11778" max="11778" style="141" width="9.75"/>
    <col customWidth="1" min="11779" max="11779" style="141" width="14.625"/>
    <col customWidth="1" min="11780" max="11785" style="141" width="16"/>
    <col min="11786" max="12032" style="141" width="9.125"/>
    <col customWidth="1" min="12033" max="12033" style="141" width="30"/>
    <col customWidth="1" min="12034" max="12034" style="141" width="9.75"/>
    <col customWidth="1" min="12035" max="12035" style="141" width="14.625"/>
    <col customWidth="1" min="12036" max="12041" style="141" width="16"/>
    <col min="12042" max="12288" style="141" width="9.125"/>
    <col customWidth="1" min="12289" max="12289" style="141" width="30"/>
    <col customWidth="1" min="12290" max="12290" style="141" width="9.75"/>
    <col customWidth="1" min="12291" max="12291" style="141" width="14.625"/>
    <col customWidth="1" min="12292" max="12297" style="141" width="16"/>
    <col min="12298" max="12544" style="141" width="9.125"/>
    <col customWidth="1" min="12545" max="12545" style="141" width="30"/>
    <col customWidth="1" min="12546" max="12546" style="141" width="9.75"/>
    <col customWidth="1" min="12547" max="12547" style="141" width="14.625"/>
    <col customWidth="1" min="12548" max="12553" style="141" width="16"/>
    <col min="12554" max="12800" style="141" width="9.125"/>
    <col customWidth="1" min="12801" max="12801" style="141" width="30"/>
    <col customWidth="1" min="12802" max="12802" style="141" width="9.75"/>
    <col customWidth="1" min="12803" max="12803" style="141" width="14.625"/>
    <col customWidth="1" min="12804" max="12809" style="141" width="16"/>
    <col min="12810" max="13056" style="141" width="9.125"/>
    <col customWidth="1" min="13057" max="13057" style="141" width="30"/>
    <col customWidth="1" min="13058" max="13058" style="141" width="9.75"/>
    <col customWidth="1" min="13059" max="13059" style="141" width="14.625"/>
    <col customWidth="1" min="13060" max="13065" style="141" width="16"/>
    <col min="13066" max="13312" style="141" width="9.125"/>
    <col customWidth="1" min="13313" max="13313" style="141" width="30"/>
    <col customWidth="1" min="13314" max="13314" style="141" width="9.75"/>
    <col customWidth="1" min="13315" max="13315" style="141" width="14.625"/>
    <col customWidth="1" min="13316" max="13321" style="141" width="16"/>
    <col min="13322" max="13568" style="141" width="9.125"/>
    <col customWidth="1" min="13569" max="13569" style="141" width="30"/>
    <col customWidth="1" min="13570" max="13570" style="141" width="9.75"/>
    <col customWidth="1" min="13571" max="13571" style="141" width="14.625"/>
    <col customWidth="1" min="13572" max="13577" style="141" width="16"/>
    <col min="13578" max="13824" style="141" width="9.125"/>
    <col customWidth="1" min="13825" max="13825" style="141" width="30"/>
    <col customWidth="1" min="13826" max="13826" style="141" width="9.75"/>
    <col customWidth="1" min="13827" max="13827" style="141" width="14.625"/>
    <col customWidth="1" min="13828" max="13833" style="141" width="16"/>
    <col min="13834" max="14080" style="141" width="9.125"/>
    <col customWidth="1" min="14081" max="14081" style="141" width="30"/>
    <col customWidth="1" min="14082" max="14082" style="141" width="9.75"/>
    <col customWidth="1" min="14083" max="14083" style="141" width="14.625"/>
    <col customWidth="1" min="14084" max="14089" style="141" width="16"/>
    <col min="14090" max="14336" style="141" width="9.125"/>
    <col customWidth="1" min="14337" max="14337" style="141" width="30"/>
    <col customWidth="1" min="14338" max="14338" style="141" width="9.75"/>
    <col customWidth="1" min="14339" max="14339" style="141" width="14.625"/>
    <col customWidth="1" min="14340" max="14345" style="141" width="16"/>
    <col min="14346" max="14592" style="141" width="9.125"/>
    <col customWidth="1" min="14593" max="14593" style="141" width="30"/>
    <col customWidth="1" min="14594" max="14594" style="141" width="9.75"/>
    <col customWidth="1" min="14595" max="14595" style="141" width="14.625"/>
    <col customWidth="1" min="14596" max="14601" style="141" width="16"/>
    <col min="14602" max="14848" style="141" width="9.125"/>
    <col customWidth="1" min="14849" max="14849" style="141" width="30"/>
    <col customWidth="1" min="14850" max="14850" style="141" width="9.75"/>
    <col customWidth="1" min="14851" max="14851" style="141" width="14.625"/>
    <col customWidth="1" min="14852" max="14857" style="141" width="16"/>
    <col min="14858" max="15104" style="141" width="9.125"/>
    <col customWidth="1" min="15105" max="15105" style="141" width="30"/>
    <col customWidth="1" min="15106" max="15106" style="141" width="9.75"/>
    <col customWidth="1" min="15107" max="15107" style="141" width="14.625"/>
    <col customWidth="1" min="15108" max="15113" style="141" width="16"/>
    <col min="15114" max="15360" style="141" width="9.125"/>
    <col customWidth="1" min="15361" max="15361" style="141" width="30"/>
    <col customWidth="1" min="15362" max="15362" style="141" width="9.75"/>
    <col customWidth="1" min="15363" max="15363" style="141" width="14.625"/>
    <col customWidth="1" min="15364" max="15369" style="141" width="16"/>
    <col min="15370" max="15616" style="141" width="9.125"/>
    <col customWidth="1" min="15617" max="15617" style="141" width="30"/>
    <col customWidth="1" min="15618" max="15618" style="141" width="9.75"/>
    <col customWidth="1" min="15619" max="15619" style="141" width="14.625"/>
    <col customWidth="1" min="15620" max="15625" style="141" width="16"/>
    <col min="15626" max="15872" style="141" width="9.125"/>
    <col customWidth="1" min="15873" max="15873" style="141" width="30"/>
    <col customWidth="1" min="15874" max="15874" style="141" width="9.75"/>
    <col customWidth="1" min="15875" max="15875" style="141" width="14.625"/>
    <col customWidth="1" min="15876" max="15881" style="141" width="16"/>
    <col min="15882" max="16128" style="141" width="9.125"/>
    <col customWidth="1" min="16129" max="16129" style="141" width="30"/>
    <col customWidth="1" min="16130" max="16130" style="141" width="9.75"/>
    <col customWidth="1" min="16131" max="16131" style="141" width="14.625"/>
    <col customWidth="1" min="16132" max="16137" style="141" width="16"/>
    <col min="16138" max="16384" style="141" width="9.125"/>
  </cols>
  <sheetData>
    <row r="1" ht="12.75" customHeight="1">
      <c r="A1" s="142" t="s">
        <v>350</v>
      </c>
      <c r="B1" s="143"/>
      <c r="C1" s="143"/>
      <c r="D1" s="143"/>
    </row>
    <row r="2" ht="15.800000000000001" customHeight="1">
      <c r="A2" s="144" t="s">
        <v>351</v>
      </c>
      <c r="B2" s="143"/>
      <c r="C2" s="143"/>
      <c r="D2" s="143"/>
    </row>
    <row r="3" ht="2.0499999999999998" customHeight="1"/>
    <row r="4" ht="11.25" customHeight="1">
      <c r="A4" s="145" t="s">
        <v>352</v>
      </c>
      <c r="B4" s="146"/>
      <c r="C4" s="147"/>
      <c r="D4" s="147"/>
      <c r="E4" s="147"/>
      <c r="F4" s="147"/>
      <c r="G4" s="147"/>
      <c r="H4" s="147"/>
      <c r="I4" s="147"/>
    </row>
    <row r="5" ht="2.0499999999999998" customHeight="1">
      <c r="A5" s="145"/>
      <c r="B5" s="145"/>
      <c r="C5" s="143"/>
      <c r="D5" s="143"/>
      <c r="E5" s="143"/>
      <c r="F5" s="143"/>
      <c r="G5" s="143"/>
      <c r="H5" s="143"/>
      <c r="I5" s="143"/>
    </row>
    <row r="6" ht="11.25" customHeight="1">
      <c r="A6" s="145" t="s">
        <v>353</v>
      </c>
      <c r="B6" s="146"/>
      <c r="C6" s="147"/>
      <c r="D6" s="147"/>
      <c r="E6" s="147"/>
      <c r="F6" s="147"/>
      <c r="G6" s="147"/>
      <c r="H6" s="147"/>
      <c r="I6" s="147"/>
    </row>
    <row r="7" ht="2.0499999999999998" customHeight="1">
      <c r="A7" s="145"/>
      <c r="B7" s="145"/>
      <c r="C7" s="143"/>
      <c r="D7" s="143"/>
      <c r="E7" s="143"/>
      <c r="F7" s="143"/>
      <c r="G7" s="143"/>
      <c r="H7" s="143"/>
      <c r="I7" s="143"/>
    </row>
    <row r="8" ht="12.75" customHeight="1">
      <c r="A8" s="148" t="s">
        <v>354</v>
      </c>
      <c r="B8" s="148"/>
      <c r="C8" s="148"/>
      <c r="D8" s="149" t="s">
        <v>355</v>
      </c>
      <c r="E8" s="149"/>
      <c r="F8" s="149" t="s">
        <v>356</v>
      </c>
      <c r="G8" s="149"/>
      <c r="H8" s="149" t="s">
        <v>357</v>
      </c>
      <c r="I8" s="149"/>
    </row>
    <row r="9" ht="12.75" customHeight="1">
      <c r="A9" s="148" t="s">
        <v>358</v>
      </c>
      <c r="B9" s="148"/>
      <c r="C9" s="148"/>
      <c r="D9" s="149" t="s">
        <v>359</v>
      </c>
      <c r="E9" s="149" t="s">
        <v>360</v>
      </c>
      <c r="F9" s="149" t="s">
        <v>359</v>
      </c>
      <c r="G9" s="149" t="s">
        <v>360</v>
      </c>
      <c r="H9" s="149" t="s">
        <v>359</v>
      </c>
      <c r="I9" s="149" t="s">
        <v>360</v>
      </c>
    </row>
    <row r="10" ht="12.75" customHeight="1">
      <c r="A10" s="148" t="s">
        <v>361</v>
      </c>
      <c r="B10" s="148"/>
      <c r="C10" s="148"/>
      <c r="D10" s="149"/>
      <c r="E10" s="149"/>
      <c r="F10" s="149"/>
      <c r="G10" s="149"/>
      <c r="H10" s="149"/>
      <c r="I10" s="149"/>
    </row>
    <row r="11" ht="12.75" customHeight="1">
      <c r="A11" s="148" t="s">
        <v>362</v>
      </c>
      <c r="B11" s="148" t="s">
        <v>363</v>
      </c>
      <c r="C11" s="148" t="s">
        <v>364</v>
      </c>
      <c r="D11" s="149"/>
      <c r="E11" s="149"/>
      <c r="F11" s="149"/>
      <c r="G11" s="149"/>
      <c r="H11" s="149"/>
      <c r="I11" s="149"/>
    </row>
    <row r="12" ht="12.75" customHeight="1">
      <c r="A12" s="148" t="s">
        <v>365</v>
      </c>
      <c r="B12" s="148"/>
      <c r="C12" s="148"/>
      <c r="D12" s="150">
        <v>6696.8779999999997</v>
      </c>
      <c r="E12" s="151"/>
      <c r="F12" s="150">
        <v>18319.313999999998</v>
      </c>
      <c r="G12" s="150">
        <v>21647.774000000001</v>
      </c>
      <c r="H12" s="150">
        <v>3368.4180000000001</v>
      </c>
      <c r="I12" s="151"/>
    </row>
    <row r="13" ht="12.75" customHeight="1" outlineLevel="1">
      <c r="A13" s="152" t="s">
        <v>366</v>
      </c>
      <c r="B13" s="152"/>
      <c r="C13" s="152"/>
      <c r="D13" s="150">
        <v>5183.8779999999997</v>
      </c>
      <c r="E13" s="151"/>
      <c r="F13" s="150">
        <v>15057.653</v>
      </c>
      <c r="G13" s="150">
        <v>18285.931</v>
      </c>
      <c r="H13" s="150">
        <v>1955.5999999999999</v>
      </c>
      <c r="I13" s="151"/>
    </row>
    <row r="14" ht="12.25" customHeight="1" outlineLevel="2">
      <c r="A14" s="153" t="s">
        <v>367</v>
      </c>
      <c r="B14" s="153"/>
      <c r="C14" s="153"/>
      <c r="D14" s="154">
        <v>5183.8779999999997</v>
      </c>
      <c r="E14" s="155"/>
      <c r="F14" s="154">
        <v>15057.653</v>
      </c>
      <c r="G14" s="154">
        <v>18285.931</v>
      </c>
      <c r="H14" s="154">
        <v>1955.5999999999999</v>
      </c>
      <c r="I14" s="155"/>
    </row>
    <row r="15" ht="12.25" customHeight="1" outlineLevel="3">
      <c r="A15" s="156" t="s">
        <v>368</v>
      </c>
      <c r="B15" s="156"/>
      <c r="C15" s="156"/>
      <c r="D15" s="154">
        <v>5183.8779999999997</v>
      </c>
      <c r="E15" s="155"/>
      <c r="F15" s="154">
        <v>15057.653</v>
      </c>
      <c r="G15" s="154">
        <v>18285.931</v>
      </c>
      <c r="H15" s="154">
        <v>1955.5999999999999</v>
      </c>
      <c r="I15" s="155"/>
    </row>
    <row r="16" ht="12.75" customHeight="1" outlineLevel="1">
      <c r="A16" s="157" t="s">
        <v>369</v>
      </c>
      <c r="B16" s="157"/>
      <c r="C16" s="157"/>
      <c r="D16" s="158">
        <v>1511</v>
      </c>
      <c r="E16" s="159"/>
      <c r="F16" s="158">
        <v>3097.9499999999998</v>
      </c>
      <c r="G16" s="158">
        <v>3207.5100000000002</v>
      </c>
      <c r="H16" s="158">
        <v>1401.4400000000001</v>
      </c>
      <c r="I16" s="159"/>
    </row>
    <row r="17" ht="12.25" customHeight="1" outlineLevel="2">
      <c r="A17" s="160" t="s">
        <v>367</v>
      </c>
      <c r="B17" s="160"/>
      <c r="C17" s="160"/>
      <c r="D17" s="161">
        <v>1511</v>
      </c>
      <c r="E17" s="162"/>
      <c r="F17" s="161">
        <v>3097.9499999999998</v>
      </c>
      <c r="G17" s="161">
        <v>3207.5100000000002</v>
      </c>
      <c r="H17" s="161">
        <v>1401.4400000000001</v>
      </c>
      <c r="I17" s="162"/>
    </row>
    <row r="18" ht="12.25" customHeight="1" outlineLevel="3">
      <c r="A18" s="163" t="s">
        <v>368</v>
      </c>
      <c r="B18" s="163"/>
      <c r="C18" s="163"/>
      <c r="D18" s="161">
        <v>1511</v>
      </c>
      <c r="E18" s="162"/>
      <c r="F18" s="161">
        <v>3097.9499999999998</v>
      </c>
      <c r="G18" s="161">
        <v>3207.5100000000002</v>
      </c>
      <c r="H18" s="161">
        <v>1401.4400000000001</v>
      </c>
      <c r="I18" s="162"/>
    </row>
    <row r="19" ht="12.25" customHeight="1" outlineLevel="4">
      <c r="A19" s="164" t="s">
        <v>370</v>
      </c>
      <c r="B19" s="165" t="s">
        <v>331</v>
      </c>
      <c r="C19" s="165" t="s">
        <v>371</v>
      </c>
      <c r="D19" s="166">
        <v>10</v>
      </c>
      <c r="E19" s="167"/>
      <c r="F19" s="167"/>
      <c r="G19" s="167"/>
      <c r="H19" s="166">
        <v>10</v>
      </c>
      <c r="I19" s="167"/>
    </row>
    <row r="20" ht="23.949999999999999" hidden="1" customHeight="1" outlineLevel="4">
      <c r="A20" s="164" t="s">
        <v>372</v>
      </c>
      <c r="B20" s="165" t="s">
        <v>331</v>
      </c>
      <c r="C20" s="165" t="s">
        <v>373</v>
      </c>
      <c r="D20" s="167"/>
      <c r="E20" s="167"/>
      <c r="F20" s="166">
        <v>1</v>
      </c>
      <c r="G20" s="166">
        <v>1</v>
      </c>
      <c r="H20" s="167"/>
      <c r="I20" s="167"/>
    </row>
    <row r="21" ht="12.25" customHeight="1" outlineLevel="4">
      <c r="A21" s="164" t="s">
        <v>374</v>
      </c>
      <c r="B21" s="165" t="s">
        <v>331</v>
      </c>
      <c r="C21" s="165" t="s">
        <v>375</v>
      </c>
      <c r="D21" s="166">
        <v>1</v>
      </c>
      <c r="E21" s="167"/>
      <c r="F21" s="167"/>
      <c r="G21" s="167"/>
      <c r="H21" s="166">
        <v>1</v>
      </c>
      <c r="I21" s="167"/>
    </row>
    <row r="22" ht="23.949999999999999" hidden="1" customHeight="1" outlineLevel="4">
      <c r="A22" s="164" t="s">
        <v>376</v>
      </c>
      <c r="B22" s="165" t="s">
        <v>331</v>
      </c>
      <c r="C22" s="165" t="s">
        <v>377</v>
      </c>
      <c r="D22" s="167"/>
      <c r="E22" s="167"/>
      <c r="F22" s="166">
        <v>1</v>
      </c>
      <c r="G22" s="166">
        <v>1</v>
      </c>
      <c r="H22" s="167"/>
      <c r="I22" s="167"/>
    </row>
    <row r="23" ht="12.25" customHeight="1" outlineLevel="4">
      <c r="A23" s="164" t="s">
        <v>378</v>
      </c>
      <c r="B23" s="165" t="s">
        <v>331</v>
      </c>
      <c r="C23" s="165" t="s">
        <v>379</v>
      </c>
      <c r="D23" s="166">
        <v>26</v>
      </c>
      <c r="E23" s="167"/>
      <c r="F23" s="167"/>
      <c r="G23" s="167"/>
      <c r="H23" s="166">
        <v>26</v>
      </c>
      <c r="I23" s="167"/>
    </row>
    <row r="24" ht="36" hidden="1" customHeight="1" outlineLevel="4">
      <c r="A24" s="164" t="s">
        <v>380</v>
      </c>
      <c r="B24" s="165" t="s">
        <v>331</v>
      </c>
      <c r="C24" s="165" t="s">
        <v>381</v>
      </c>
      <c r="D24" s="166">
        <v>16</v>
      </c>
      <c r="E24" s="167"/>
      <c r="F24" s="167"/>
      <c r="G24" s="166">
        <v>16</v>
      </c>
      <c r="H24" s="167"/>
      <c r="I24" s="167"/>
    </row>
    <row r="25" ht="36" customHeight="1" outlineLevel="4">
      <c r="A25" s="164" t="s">
        <v>382</v>
      </c>
      <c r="B25" s="165" t="s">
        <v>331</v>
      </c>
      <c r="C25" s="165" t="s">
        <v>383</v>
      </c>
      <c r="D25" s="166">
        <v>6</v>
      </c>
      <c r="E25" s="167"/>
      <c r="F25" s="167"/>
      <c r="G25" s="167"/>
      <c r="H25" s="166">
        <v>6</v>
      </c>
      <c r="I25" s="167"/>
    </row>
    <row r="26" ht="36" customHeight="1" outlineLevel="4">
      <c r="A26" s="168" t="s">
        <v>384</v>
      </c>
      <c r="B26" s="169" t="s">
        <v>331</v>
      </c>
      <c r="C26" s="169" t="s">
        <v>252</v>
      </c>
      <c r="D26" s="170">
        <v>50</v>
      </c>
      <c r="E26" s="171"/>
      <c r="F26" s="171"/>
      <c r="G26" s="170">
        <v>26</v>
      </c>
      <c r="H26" s="170">
        <v>24</v>
      </c>
      <c r="I26" s="171"/>
    </row>
    <row r="27" ht="36" hidden="1" customHeight="1" outlineLevel="4">
      <c r="A27" s="164" t="s">
        <v>385</v>
      </c>
      <c r="B27" s="165" t="s">
        <v>331</v>
      </c>
      <c r="C27" s="165" t="s">
        <v>386</v>
      </c>
      <c r="D27" s="166">
        <v>28</v>
      </c>
      <c r="E27" s="167"/>
      <c r="F27" s="167"/>
      <c r="G27" s="166">
        <v>28</v>
      </c>
      <c r="H27" s="167"/>
      <c r="I27" s="167"/>
    </row>
    <row r="28" ht="36" hidden="1" customHeight="1" outlineLevel="4">
      <c r="A28" s="164" t="s">
        <v>387</v>
      </c>
      <c r="B28" s="165" t="s">
        <v>331</v>
      </c>
      <c r="C28" s="165" t="s">
        <v>388</v>
      </c>
      <c r="D28" s="166">
        <v>58</v>
      </c>
      <c r="E28" s="167"/>
      <c r="F28" s="167"/>
      <c r="G28" s="166">
        <v>58</v>
      </c>
      <c r="H28" s="167"/>
      <c r="I28" s="167"/>
    </row>
    <row r="29" ht="36" customHeight="1" outlineLevel="4">
      <c r="A29" s="164" t="s">
        <v>389</v>
      </c>
      <c r="B29" s="165" t="s">
        <v>331</v>
      </c>
      <c r="C29" s="165" t="s">
        <v>390</v>
      </c>
      <c r="D29" s="166">
        <v>12</v>
      </c>
      <c r="E29" s="167"/>
      <c r="F29" s="167"/>
      <c r="G29" s="167"/>
      <c r="H29" s="166">
        <v>12</v>
      </c>
      <c r="I29" s="167"/>
    </row>
    <row r="30" ht="36" customHeight="1" outlineLevel="4">
      <c r="A30" s="164" t="s">
        <v>391</v>
      </c>
      <c r="B30" s="165" t="s">
        <v>331</v>
      </c>
      <c r="C30" s="165" t="s">
        <v>392</v>
      </c>
      <c r="D30" s="166">
        <v>32</v>
      </c>
      <c r="E30" s="167"/>
      <c r="F30" s="167"/>
      <c r="G30" s="167"/>
      <c r="H30" s="166">
        <v>32</v>
      </c>
      <c r="I30" s="167"/>
    </row>
    <row r="31" ht="36" customHeight="1" outlineLevel="4">
      <c r="A31" s="168" t="s">
        <v>393</v>
      </c>
      <c r="B31" s="169" t="s">
        <v>331</v>
      </c>
      <c r="C31" s="169" t="s">
        <v>255</v>
      </c>
      <c r="D31" s="170">
        <v>40</v>
      </c>
      <c r="E31" s="171"/>
      <c r="F31" s="171"/>
      <c r="G31" s="170">
        <v>28</v>
      </c>
      <c r="H31" s="170">
        <v>12</v>
      </c>
      <c r="I31" s="171"/>
    </row>
    <row r="32" ht="36" customHeight="1" outlineLevel="4">
      <c r="A32" s="168" t="s">
        <v>394</v>
      </c>
      <c r="B32" s="169" t="s">
        <v>331</v>
      </c>
      <c r="C32" s="169" t="s">
        <v>258</v>
      </c>
      <c r="D32" s="170">
        <v>98</v>
      </c>
      <c r="E32" s="171"/>
      <c r="F32" s="171"/>
      <c r="G32" s="170">
        <v>18</v>
      </c>
      <c r="H32" s="170">
        <v>80</v>
      </c>
      <c r="I32" s="171"/>
    </row>
    <row r="33" ht="59.950000000000003" customHeight="1" outlineLevel="4">
      <c r="A33" s="164" t="s">
        <v>395</v>
      </c>
      <c r="B33" s="165" t="s">
        <v>331</v>
      </c>
      <c r="C33" s="165" t="s">
        <v>248</v>
      </c>
      <c r="D33" s="167"/>
      <c r="E33" s="167"/>
      <c r="F33" s="166">
        <v>90</v>
      </c>
      <c r="G33" s="166">
        <v>48</v>
      </c>
      <c r="H33" s="166">
        <v>42</v>
      </c>
      <c r="I33" s="167"/>
    </row>
    <row r="34" ht="48.25" customHeight="1" outlineLevel="4">
      <c r="A34" s="168" t="s">
        <v>396</v>
      </c>
      <c r="B34" s="169" t="s">
        <v>331</v>
      </c>
      <c r="C34" s="169" t="s">
        <v>397</v>
      </c>
      <c r="D34" s="171"/>
      <c r="E34" s="171"/>
      <c r="F34" s="170">
        <v>50</v>
      </c>
      <c r="G34" s="170">
        <v>34</v>
      </c>
      <c r="H34" s="170">
        <v>16</v>
      </c>
      <c r="I34" s="171"/>
    </row>
    <row r="35" ht="48.25" customHeight="1" outlineLevel="4">
      <c r="A35" s="164" t="s">
        <v>398</v>
      </c>
      <c r="B35" s="165" t="s">
        <v>331</v>
      </c>
      <c r="C35" s="165" t="s">
        <v>399</v>
      </c>
      <c r="D35" s="167"/>
      <c r="E35" s="167"/>
      <c r="F35" s="166">
        <v>22</v>
      </c>
      <c r="G35" s="166">
        <v>16</v>
      </c>
      <c r="H35" s="166">
        <v>6</v>
      </c>
      <c r="I35" s="167"/>
    </row>
    <row r="36" ht="48.25" hidden="1" customHeight="1" outlineLevel="4">
      <c r="A36" s="164" t="s">
        <v>400</v>
      </c>
      <c r="B36" s="165" t="s">
        <v>331</v>
      </c>
      <c r="C36" s="165" t="s">
        <v>401</v>
      </c>
      <c r="D36" s="167"/>
      <c r="E36" s="167"/>
      <c r="F36" s="166">
        <v>14</v>
      </c>
      <c r="G36" s="166">
        <v>14</v>
      </c>
      <c r="H36" s="167"/>
      <c r="I36" s="167"/>
    </row>
    <row r="37" ht="59.950000000000003" hidden="1" customHeight="1" outlineLevel="4">
      <c r="A37" s="164" t="s">
        <v>402</v>
      </c>
      <c r="B37" s="165" t="s">
        <v>331</v>
      </c>
      <c r="C37" s="165" t="s">
        <v>403</v>
      </c>
      <c r="D37" s="167"/>
      <c r="E37" s="167"/>
      <c r="F37" s="166">
        <v>4</v>
      </c>
      <c r="G37" s="166">
        <v>4</v>
      </c>
      <c r="H37" s="167"/>
      <c r="I37" s="167"/>
    </row>
    <row r="38" ht="48.25" hidden="1" customHeight="1" outlineLevel="4">
      <c r="A38" s="164" t="s">
        <v>404</v>
      </c>
      <c r="B38" s="165" t="s">
        <v>331</v>
      </c>
      <c r="C38" s="165" t="s">
        <v>405</v>
      </c>
      <c r="D38" s="167"/>
      <c r="E38" s="167"/>
      <c r="F38" s="166">
        <v>8</v>
      </c>
      <c r="G38" s="166">
        <v>8</v>
      </c>
      <c r="H38" s="167"/>
      <c r="I38" s="167"/>
    </row>
    <row r="39" ht="36" customHeight="1" outlineLevel="4">
      <c r="A39" s="168" t="s">
        <v>406</v>
      </c>
      <c r="B39" s="169" t="s">
        <v>331</v>
      </c>
      <c r="C39" s="169" t="s">
        <v>260</v>
      </c>
      <c r="D39" s="170">
        <v>10</v>
      </c>
      <c r="E39" s="171"/>
      <c r="F39" s="171"/>
      <c r="G39" s="170">
        <v>6</v>
      </c>
      <c r="H39" s="170">
        <v>4</v>
      </c>
      <c r="I39" s="171"/>
    </row>
    <row r="40" ht="36" customHeight="1" outlineLevel="4">
      <c r="A40" s="168" t="s">
        <v>407</v>
      </c>
      <c r="B40" s="169" t="s">
        <v>331</v>
      </c>
      <c r="C40" s="169" t="s">
        <v>408</v>
      </c>
      <c r="D40" s="170">
        <v>40</v>
      </c>
      <c r="E40" s="171"/>
      <c r="F40" s="171"/>
      <c r="G40" s="170">
        <v>26</v>
      </c>
      <c r="H40" s="170">
        <v>14</v>
      </c>
      <c r="I40" s="171"/>
    </row>
    <row r="41" ht="36" customHeight="1" outlineLevel="4">
      <c r="A41" s="168" t="s">
        <v>409</v>
      </c>
      <c r="B41" s="169" t="s">
        <v>331</v>
      </c>
      <c r="C41" s="169" t="s">
        <v>264</v>
      </c>
      <c r="D41" s="170">
        <v>90</v>
      </c>
      <c r="E41" s="171"/>
      <c r="F41" s="171"/>
      <c r="G41" s="170">
        <v>8</v>
      </c>
      <c r="H41" s="170">
        <v>82</v>
      </c>
      <c r="I41" s="171"/>
    </row>
    <row r="42" ht="36" customHeight="1" outlineLevel="4">
      <c r="A42" s="164" t="s">
        <v>410</v>
      </c>
      <c r="B42" s="165" t="s">
        <v>331</v>
      </c>
      <c r="C42" s="165" t="s">
        <v>411</v>
      </c>
      <c r="D42" s="166">
        <v>84</v>
      </c>
      <c r="E42" s="167"/>
      <c r="F42" s="167"/>
      <c r="G42" s="166">
        <v>20</v>
      </c>
      <c r="H42" s="166">
        <v>64</v>
      </c>
      <c r="I42" s="167"/>
    </row>
    <row r="43" ht="36" customHeight="1" outlineLevel="4">
      <c r="A43" s="164" t="s">
        <v>412</v>
      </c>
      <c r="B43" s="165" t="s">
        <v>331</v>
      </c>
      <c r="C43" s="165" t="s">
        <v>413</v>
      </c>
      <c r="D43" s="166">
        <v>10</v>
      </c>
      <c r="E43" s="167"/>
      <c r="F43" s="167"/>
      <c r="G43" s="166">
        <v>2</v>
      </c>
      <c r="H43" s="166">
        <v>8</v>
      </c>
      <c r="I43" s="167"/>
    </row>
    <row r="44" ht="36" customHeight="1" outlineLevel="4">
      <c r="A44" s="168" t="s">
        <v>414</v>
      </c>
      <c r="B44" s="169" t="s">
        <v>331</v>
      </c>
      <c r="C44" s="169" t="s">
        <v>268</v>
      </c>
      <c r="D44" s="170">
        <v>50</v>
      </c>
      <c r="E44" s="171"/>
      <c r="F44" s="171"/>
      <c r="G44" s="170">
        <v>16</v>
      </c>
      <c r="H44" s="170">
        <v>34</v>
      </c>
      <c r="I44" s="171"/>
    </row>
    <row r="45" ht="36" customHeight="1" outlineLevel="4">
      <c r="A45" s="164" t="s">
        <v>415</v>
      </c>
      <c r="B45" s="165" t="s">
        <v>331</v>
      </c>
      <c r="C45" s="165" t="s">
        <v>416</v>
      </c>
      <c r="D45" s="166">
        <v>20</v>
      </c>
      <c r="E45" s="167"/>
      <c r="F45" s="167"/>
      <c r="G45" s="167"/>
      <c r="H45" s="166">
        <v>20</v>
      </c>
      <c r="I45" s="167"/>
    </row>
    <row r="46" ht="36" customHeight="1" outlineLevel="4">
      <c r="A46" s="164" t="s">
        <v>417</v>
      </c>
      <c r="B46" s="165" t="s">
        <v>331</v>
      </c>
      <c r="C46" s="165" t="s">
        <v>418</v>
      </c>
      <c r="D46" s="166">
        <v>12</v>
      </c>
      <c r="E46" s="167"/>
      <c r="F46" s="167"/>
      <c r="G46" s="167"/>
      <c r="H46" s="166">
        <v>12</v>
      </c>
      <c r="I46" s="167"/>
    </row>
    <row r="47" ht="36" customHeight="1" outlineLevel="4">
      <c r="A47" s="164" t="s">
        <v>419</v>
      </c>
      <c r="B47" s="165" t="s">
        <v>331</v>
      </c>
      <c r="C47" s="165" t="s">
        <v>420</v>
      </c>
      <c r="D47" s="166">
        <v>82</v>
      </c>
      <c r="E47" s="167"/>
      <c r="F47" s="167"/>
      <c r="G47" s="167"/>
      <c r="H47" s="166">
        <v>82</v>
      </c>
      <c r="I47" s="167"/>
    </row>
    <row r="48" ht="36" customHeight="1" outlineLevel="4">
      <c r="A48" s="164" t="s">
        <v>421</v>
      </c>
      <c r="B48" s="165" t="s">
        <v>331</v>
      </c>
      <c r="C48" s="165" t="s">
        <v>422</v>
      </c>
      <c r="D48" s="166">
        <v>54</v>
      </c>
      <c r="E48" s="167"/>
      <c r="F48" s="167"/>
      <c r="G48" s="167"/>
      <c r="H48" s="166">
        <v>54</v>
      </c>
      <c r="I48" s="167"/>
    </row>
    <row r="49" ht="36" customHeight="1" outlineLevel="4">
      <c r="A49" s="164" t="s">
        <v>423</v>
      </c>
      <c r="B49" s="165" t="s">
        <v>331</v>
      </c>
      <c r="C49" s="165" t="s">
        <v>424</v>
      </c>
      <c r="D49" s="166">
        <v>16</v>
      </c>
      <c r="E49" s="167"/>
      <c r="F49" s="167"/>
      <c r="G49" s="167"/>
      <c r="H49" s="166">
        <v>16</v>
      </c>
      <c r="I49" s="167"/>
    </row>
    <row r="50" ht="36" customHeight="1" outlineLevel="4">
      <c r="A50" s="164" t="s">
        <v>425</v>
      </c>
      <c r="B50" s="165" t="s">
        <v>331</v>
      </c>
      <c r="C50" s="165" t="s">
        <v>426</v>
      </c>
      <c r="D50" s="166">
        <v>24</v>
      </c>
      <c r="E50" s="167"/>
      <c r="F50" s="167"/>
      <c r="G50" s="167"/>
      <c r="H50" s="166">
        <v>24</v>
      </c>
      <c r="I50" s="167"/>
    </row>
    <row r="51" ht="59.950000000000003" customHeight="1" outlineLevel="4">
      <c r="A51" s="164" t="s">
        <v>427</v>
      </c>
      <c r="B51" s="165" t="s">
        <v>331</v>
      </c>
      <c r="C51" s="165" t="s">
        <v>428</v>
      </c>
      <c r="D51" s="167"/>
      <c r="E51" s="167"/>
      <c r="F51" s="166">
        <v>14</v>
      </c>
      <c r="G51" s="167"/>
      <c r="H51" s="166">
        <v>14</v>
      </c>
      <c r="I51" s="167"/>
    </row>
    <row r="52" ht="59.950000000000003" customHeight="1" outlineLevel="4">
      <c r="A52" s="164" t="s">
        <v>429</v>
      </c>
      <c r="B52" s="165" t="s">
        <v>331</v>
      </c>
      <c r="C52" s="165" t="s">
        <v>430</v>
      </c>
      <c r="D52" s="167"/>
      <c r="E52" s="167"/>
      <c r="F52" s="166">
        <v>10</v>
      </c>
      <c r="G52" s="167"/>
      <c r="H52" s="166">
        <v>10</v>
      </c>
      <c r="I52" s="167"/>
    </row>
    <row r="53" ht="36" customHeight="1" outlineLevel="4">
      <c r="A53" s="164" t="s">
        <v>431</v>
      </c>
      <c r="B53" s="165" t="s">
        <v>331</v>
      </c>
      <c r="C53" s="165" t="s">
        <v>432</v>
      </c>
      <c r="D53" s="167"/>
      <c r="E53" s="167"/>
      <c r="F53" s="166">
        <v>18</v>
      </c>
      <c r="G53" s="167"/>
      <c r="H53" s="166">
        <v>18</v>
      </c>
      <c r="I53" s="167"/>
    </row>
    <row r="54" ht="36" customHeight="1" outlineLevel="4">
      <c r="A54" s="168" t="s">
        <v>433</v>
      </c>
      <c r="B54" s="169" t="s">
        <v>331</v>
      </c>
      <c r="C54" s="169" t="s">
        <v>262</v>
      </c>
      <c r="D54" s="171"/>
      <c r="E54" s="171"/>
      <c r="F54" s="170">
        <v>4</v>
      </c>
      <c r="G54" s="171"/>
      <c r="H54" s="170">
        <v>4</v>
      </c>
      <c r="I54" s="171"/>
    </row>
    <row r="55" ht="12.25" hidden="1" customHeight="1" outlineLevel="4">
      <c r="A55" s="164" t="s">
        <v>434</v>
      </c>
      <c r="B55" s="165" t="s">
        <v>331</v>
      </c>
      <c r="C55" s="165" t="s">
        <v>435</v>
      </c>
      <c r="D55" s="167"/>
      <c r="E55" s="167"/>
      <c r="F55" s="166">
        <v>65</v>
      </c>
      <c r="G55" s="166">
        <v>65</v>
      </c>
      <c r="H55" s="167"/>
      <c r="I55" s="167"/>
    </row>
    <row r="56" ht="23.949999999999999" hidden="1" customHeight="1" outlineLevel="4">
      <c r="A56" s="164" t="s">
        <v>136</v>
      </c>
      <c r="B56" s="165" t="s">
        <v>72</v>
      </c>
      <c r="C56" s="165" t="s">
        <v>436</v>
      </c>
      <c r="D56" s="167"/>
      <c r="E56" s="167"/>
      <c r="F56" s="166">
        <v>6</v>
      </c>
      <c r="G56" s="166">
        <v>6</v>
      </c>
      <c r="H56" s="167"/>
      <c r="I56" s="167"/>
    </row>
    <row r="57" ht="23.949999999999999" hidden="1" customHeight="1" outlineLevel="4">
      <c r="A57" s="164" t="s">
        <v>437</v>
      </c>
      <c r="B57" s="165" t="s">
        <v>331</v>
      </c>
      <c r="C57" s="165" t="s">
        <v>438</v>
      </c>
      <c r="D57" s="166">
        <v>6</v>
      </c>
      <c r="E57" s="167"/>
      <c r="F57" s="167"/>
      <c r="G57" s="166">
        <v>6</v>
      </c>
      <c r="H57" s="167"/>
      <c r="I57" s="167"/>
    </row>
    <row r="58" ht="23.949999999999999" hidden="1" customHeight="1" outlineLevel="4">
      <c r="A58" s="164" t="s">
        <v>439</v>
      </c>
      <c r="B58" s="165" t="s">
        <v>331</v>
      </c>
      <c r="C58" s="165" t="s">
        <v>440</v>
      </c>
      <c r="D58" s="167"/>
      <c r="E58" s="167"/>
      <c r="F58" s="166">
        <v>4</v>
      </c>
      <c r="G58" s="166">
        <v>4</v>
      </c>
      <c r="H58" s="167"/>
      <c r="I58" s="167"/>
    </row>
    <row r="59" ht="23.949999999999999" hidden="1" customHeight="1" outlineLevel="4">
      <c r="A59" s="164" t="s">
        <v>441</v>
      </c>
      <c r="B59" s="165" t="s">
        <v>331</v>
      </c>
      <c r="C59" s="165" t="s">
        <v>442</v>
      </c>
      <c r="D59" s="167"/>
      <c r="E59" s="167"/>
      <c r="F59" s="166">
        <v>4</v>
      </c>
      <c r="G59" s="166">
        <v>4</v>
      </c>
      <c r="H59" s="167"/>
      <c r="I59" s="167"/>
    </row>
    <row r="60" ht="36" hidden="1" customHeight="1" outlineLevel="4">
      <c r="A60" s="164" t="s">
        <v>443</v>
      </c>
      <c r="B60" s="165" t="s">
        <v>331</v>
      </c>
      <c r="C60" s="165" t="s">
        <v>444</v>
      </c>
      <c r="D60" s="166">
        <v>2</v>
      </c>
      <c r="E60" s="167"/>
      <c r="F60" s="166">
        <v>6</v>
      </c>
      <c r="G60" s="166">
        <v>8</v>
      </c>
      <c r="H60" s="167"/>
      <c r="I60" s="167"/>
    </row>
    <row r="61" ht="23.949999999999999" hidden="1" customHeight="1" outlineLevel="4">
      <c r="A61" s="164" t="s">
        <v>445</v>
      </c>
      <c r="B61" s="165" t="s">
        <v>331</v>
      </c>
      <c r="C61" s="165" t="s">
        <v>446</v>
      </c>
      <c r="D61" s="166">
        <v>2</v>
      </c>
      <c r="E61" s="167"/>
      <c r="F61" s="167"/>
      <c r="G61" s="166">
        <v>2</v>
      </c>
      <c r="H61" s="167"/>
      <c r="I61" s="167"/>
    </row>
    <row r="62" ht="36" hidden="1" customHeight="1" outlineLevel="4">
      <c r="A62" s="164" t="s">
        <v>447</v>
      </c>
      <c r="B62" s="165" t="s">
        <v>331</v>
      </c>
      <c r="C62" s="165" t="s">
        <v>448</v>
      </c>
      <c r="D62" s="167"/>
      <c r="E62" s="167"/>
      <c r="F62" s="166">
        <v>4</v>
      </c>
      <c r="G62" s="166">
        <v>4</v>
      </c>
      <c r="H62" s="167"/>
      <c r="I62" s="167"/>
    </row>
    <row r="63" ht="36" hidden="1" customHeight="1" outlineLevel="4">
      <c r="A63" s="164" t="s">
        <v>449</v>
      </c>
      <c r="B63" s="165" t="s">
        <v>331</v>
      </c>
      <c r="C63" s="165" t="s">
        <v>450</v>
      </c>
      <c r="D63" s="166">
        <v>6</v>
      </c>
      <c r="E63" s="167"/>
      <c r="F63" s="167"/>
      <c r="G63" s="166">
        <v>6</v>
      </c>
      <c r="H63" s="167"/>
      <c r="I63" s="167"/>
    </row>
    <row r="64" ht="23.949999999999999" hidden="1" customHeight="1" outlineLevel="4">
      <c r="A64" s="164" t="s">
        <v>451</v>
      </c>
      <c r="B64" s="165" t="s">
        <v>331</v>
      </c>
      <c r="C64" s="165" t="s">
        <v>452</v>
      </c>
      <c r="D64" s="167"/>
      <c r="E64" s="167"/>
      <c r="F64" s="166">
        <v>100</v>
      </c>
      <c r="G64" s="166">
        <v>100</v>
      </c>
      <c r="H64" s="167"/>
      <c r="I64" s="167"/>
    </row>
    <row r="65" ht="23.949999999999999" hidden="1" customHeight="1" outlineLevel="4">
      <c r="A65" s="164" t="s">
        <v>269</v>
      </c>
      <c r="B65" s="165" t="s">
        <v>331</v>
      </c>
      <c r="C65" s="165" t="s">
        <v>453</v>
      </c>
      <c r="D65" s="167"/>
      <c r="E65" s="167"/>
      <c r="F65" s="166">
        <v>100</v>
      </c>
      <c r="G65" s="166">
        <v>100</v>
      </c>
      <c r="H65" s="167"/>
      <c r="I65" s="167"/>
    </row>
    <row r="66" ht="12.25" hidden="1" customHeight="1" outlineLevel="4">
      <c r="A66" s="164" t="s">
        <v>454</v>
      </c>
      <c r="B66" s="165" t="s">
        <v>331</v>
      </c>
      <c r="C66" s="165" t="s">
        <v>455</v>
      </c>
      <c r="D66" s="167"/>
      <c r="E66" s="167"/>
      <c r="F66" s="166">
        <v>20</v>
      </c>
      <c r="G66" s="166">
        <v>20</v>
      </c>
      <c r="H66" s="167"/>
      <c r="I66" s="167"/>
    </row>
    <row r="67" ht="23.949999999999999" hidden="1" customHeight="1" outlineLevel="4">
      <c r="A67" s="164" t="s">
        <v>456</v>
      </c>
      <c r="B67" s="165" t="s">
        <v>331</v>
      </c>
      <c r="C67" s="165" t="s">
        <v>457</v>
      </c>
      <c r="D67" s="167"/>
      <c r="E67" s="167"/>
      <c r="F67" s="166">
        <v>2</v>
      </c>
      <c r="G67" s="166">
        <v>2</v>
      </c>
      <c r="H67" s="167"/>
      <c r="I67" s="167"/>
    </row>
    <row r="68" ht="23.949999999999999" hidden="1" customHeight="1" outlineLevel="4">
      <c r="A68" s="164" t="s">
        <v>458</v>
      </c>
      <c r="B68" s="165" t="s">
        <v>331</v>
      </c>
      <c r="C68" s="165" t="s">
        <v>459</v>
      </c>
      <c r="D68" s="167"/>
      <c r="E68" s="167"/>
      <c r="F68" s="166">
        <v>1</v>
      </c>
      <c r="G68" s="166">
        <v>1</v>
      </c>
      <c r="H68" s="167"/>
      <c r="I68" s="167"/>
    </row>
    <row r="69" ht="12.25" customHeight="1" outlineLevel="4">
      <c r="A69" s="164" t="s">
        <v>460</v>
      </c>
      <c r="B69" s="165" t="s">
        <v>331</v>
      </c>
      <c r="C69" s="165" t="s">
        <v>461</v>
      </c>
      <c r="D69" s="166">
        <v>90</v>
      </c>
      <c r="E69" s="167"/>
      <c r="F69" s="167"/>
      <c r="G69" s="166">
        <v>8</v>
      </c>
      <c r="H69" s="166">
        <v>82</v>
      </c>
      <c r="I69" s="167"/>
    </row>
    <row r="70" ht="12.25" customHeight="1" outlineLevel="4">
      <c r="A70" s="164" t="s">
        <v>462</v>
      </c>
      <c r="B70" s="165" t="s">
        <v>331</v>
      </c>
      <c r="C70" s="165" t="s">
        <v>463</v>
      </c>
      <c r="D70" s="166">
        <v>82</v>
      </c>
      <c r="E70" s="167"/>
      <c r="F70" s="167"/>
      <c r="G70" s="166">
        <v>18</v>
      </c>
      <c r="H70" s="166">
        <v>64</v>
      </c>
      <c r="I70" s="167"/>
    </row>
    <row r="71" ht="12.25" customHeight="1" outlineLevel="4">
      <c r="A71" s="164" t="s">
        <v>464</v>
      </c>
      <c r="B71" s="165" t="s">
        <v>331</v>
      </c>
      <c r="C71" s="165" t="s">
        <v>465</v>
      </c>
      <c r="D71" s="166">
        <v>60</v>
      </c>
      <c r="E71" s="167"/>
      <c r="F71" s="167"/>
      <c r="G71" s="166">
        <v>18</v>
      </c>
      <c r="H71" s="166">
        <v>42</v>
      </c>
      <c r="I71" s="167"/>
    </row>
    <row r="72" ht="12.25" customHeight="1" outlineLevel="4">
      <c r="A72" s="164" t="s">
        <v>466</v>
      </c>
      <c r="B72" s="165" t="s">
        <v>331</v>
      </c>
      <c r="C72" s="165" t="s">
        <v>467</v>
      </c>
      <c r="D72" s="166">
        <v>10</v>
      </c>
      <c r="E72" s="167"/>
      <c r="F72" s="167"/>
      <c r="G72" s="166">
        <v>6</v>
      </c>
      <c r="H72" s="166">
        <v>4</v>
      </c>
      <c r="I72" s="167"/>
    </row>
    <row r="73" ht="12.25" customHeight="1" outlineLevel="4">
      <c r="A73" s="164" t="s">
        <v>468</v>
      </c>
      <c r="B73" s="165" t="s">
        <v>331</v>
      </c>
      <c r="C73" s="165" t="s">
        <v>469</v>
      </c>
      <c r="D73" s="166">
        <v>40</v>
      </c>
      <c r="E73" s="167"/>
      <c r="F73" s="167"/>
      <c r="G73" s="166">
        <v>26</v>
      </c>
      <c r="H73" s="166">
        <v>14</v>
      </c>
      <c r="I73" s="167"/>
    </row>
    <row r="74" ht="12.25" hidden="1" customHeight="1" outlineLevel="4">
      <c r="A74" s="164" t="s">
        <v>470</v>
      </c>
      <c r="B74" s="165" t="s">
        <v>331</v>
      </c>
      <c r="C74" s="165" t="s">
        <v>471</v>
      </c>
      <c r="D74" s="167"/>
      <c r="E74" s="167"/>
      <c r="F74" s="166">
        <v>4</v>
      </c>
      <c r="G74" s="166">
        <v>4</v>
      </c>
      <c r="H74" s="167"/>
      <c r="I74" s="167"/>
    </row>
    <row r="75" ht="12.25" hidden="1" customHeight="1" outlineLevel="4">
      <c r="A75" s="164" t="s">
        <v>472</v>
      </c>
      <c r="B75" s="165" t="s">
        <v>331</v>
      </c>
      <c r="C75" s="165" t="s">
        <v>473</v>
      </c>
      <c r="D75" s="167"/>
      <c r="E75" s="167"/>
      <c r="F75" s="166">
        <v>2</v>
      </c>
      <c r="G75" s="166">
        <v>2</v>
      </c>
      <c r="H75" s="167"/>
      <c r="I75" s="167"/>
    </row>
    <row r="76" ht="23.949999999999999" hidden="1" customHeight="1" outlineLevel="4">
      <c r="A76" s="164" t="s">
        <v>474</v>
      </c>
      <c r="B76" s="165" t="s">
        <v>331</v>
      </c>
      <c r="C76" s="165" t="s">
        <v>475</v>
      </c>
      <c r="D76" s="166">
        <v>34</v>
      </c>
      <c r="E76" s="167"/>
      <c r="F76" s="167"/>
      <c r="G76" s="166">
        <v>34</v>
      </c>
      <c r="H76" s="167"/>
      <c r="I76" s="167"/>
    </row>
    <row r="77" ht="23.949999999999999" hidden="1" customHeight="1" outlineLevel="4">
      <c r="A77" s="164" t="s">
        <v>476</v>
      </c>
      <c r="B77" s="165" t="s">
        <v>331</v>
      </c>
      <c r="C77" s="165" t="s">
        <v>477</v>
      </c>
      <c r="D77" s="166">
        <v>12</v>
      </c>
      <c r="E77" s="167"/>
      <c r="F77" s="167"/>
      <c r="G77" s="166">
        <v>12</v>
      </c>
      <c r="H77" s="167"/>
      <c r="I77" s="167"/>
    </row>
    <row r="78" ht="23.949999999999999" customHeight="1" outlineLevel="4">
      <c r="A78" s="164" t="s">
        <v>478</v>
      </c>
      <c r="B78" s="165" t="s">
        <v>331</v>
      </c>
      <c r="C78" s="165" t="s">
        <v>479</v>
      </c>
      <c r="D78" s="166">
        <v>6</v>
      </c>
      <c r="E78" s="167"/>
      <c r="F78" s="167"/>
      <c r="G78" s="167"/>
      <c r="H78" s="166">
        <v>6</v>
      </c>
      <c r="I78" s="167"/>
    </row>
    <row r="79" ht="23.949999999999999" customHeight="1" outlineLevel="4">
      <c r="A79" s="164" t="s">
        <v>480</v>
      </c>
      <c r="B79" s="165" t="s">
        <v>331</v>
      </c>
      <c r="C79" s="165" t="s">
        <v>481</v>
      </c>
      <c r="D79" s="166">
        <v>40</v>
      </c>
      <c r="E79" s="167"/>
      <c r="F79" s="167"/>
      <c r="G79" s="166">
        <v>16</v>
      </c>
      <c r="H79" s="166">
        <v>24</v>
      </c>
      <c r="I79" s="167"/>
    </row>
    <row r="80" ht="12.25" hidden="1" customHeight="1" outlineLevel="4">
      <c r="A80" s="164" t="s">
        <v>482</v>
      </c>
      <c r="B80" s="165" t="s">
        <v>331</v>
      </c>
      <c r="C80" s="165" t="s">
        <v>483</v>
      </c>
      <c r="D80" s="166">
        <v>8</v>
      </c>
      <c r="E80" s="167"/>
      <c r="F80" s="167"/>
      <c r="G80" s="166">
        <v>8</v>
      </c>
      <c r="H80" s="167"/>
      <c r="I80" s="167"/>
    </row>
    <row r="81" ht="12.25" hidden="1" customHeight="1" outlineLevel="4">
      <c r="A81" s="164" t="s">
        <v>484</v>
      </c>
      <c r="B81" s="165" t="s">
        <v>331</v>
      </c>
      <c r="C81" s="165" t="s">
        <v>485</v>
      </c>
      <c r="D81" s="166">
        <v>8</v>
      </c>
      <c r="E81" s="167"/>
      <c r="F81" s="167"/>
      <c r="G81" s="166">
        <v>8</v>
      </c>
      <c r="H81" s="167"/>
      <c r="I81" s="167"/>
    </row>
    <row r="82" ht="12.25" hidden="1" customHeight="1" outlineLevel="4">
      <c r="A82" s="164" t="s">
        <v>486</v>
      </c>
      <c r="B82" s="165" t="s">
        <v>331</v>
      </c>
      <c r="C82" s="165" t="s">
        <v>487</v>
      </c>
      <c r="D82" s="167"/>
      <c r="E82" s="167"/>
      <c r="F82" s="166">
        <v>4</v>
      </c>
      <c r="G82" s="166">
        <v>4</v>
      </c>
      <c r="H82" s="167"/>
      <c r="I82" s="167"/>
    </row>
    <row r="83" ht="12.25" customHeight="1" outlineLevel="4">
      <c r="A83" s="164" t="s">
        <v>488</v>
      </c>
      <c r="B83" s="165" t="s">
        <v>331</v>
      </c>
      <c r="C83" s="165" t="s">
        <v>489</v>
      </c>
      <c r="D83" s="166">
        <v>5</v>
      </c>
      <c r="E83" s="167"/>
      <c r="F83" s="167"/>
      <c r="G83" s="166">
        <v>3</v>
      </c>
      <c r="H83" s="166">
        <v>2</v>
      </c>
      <c r="I83" s="167"/>
    </row>
    <row r="84" ht="59.950000000000003" hidden="1" customHeight="1" outlineLevel="4">
      <c r="A84" s="164" t="s">
        <v>490</v>
      </c>
      <c r="B84" s="165" t="s">
        <v>331</v>
      </c>
      <c r="C84" s="165" t="s">
        <v>491</v>
      </c>
      <c r="D84" s="167"/>
      <c r="E84" s="167"/>
      <c r="F84" s="166">
        <v>2</v>
      </c>
      <c r="G84" s="166">
        <v>2</v>
      </c>
      <c r="H84" s="167"/>
      <c r="I84" s="167"/>
    </row>
    <row r="85" ht="12.25" hidden="1" customHeight="1" outlineLevel="4">
      <c r="A85" s="164" t="s">
        <v>492</v>
      </c>
      <c r="B85" s="165" t="s">
        <v>331</v>
      </c>
      <c r="C85" s="165" t="s">
        <v>493</v>
      </c>
      <c r="D85" s="166">
        <v>10</v>
      </c>
      <c r="E85" s="167"/>
      <c r="F85" s="167"/>
      <c r="G85" s="166">
        <v>10</v>
      </c>
      <c r="H85" s="167"/>
      <c r="I85" s="167"/>
    </row>
    <row r="86" ht="59.950000000000003" customHeight="1" outlineLevel="4">
      <c r="A86" s="164" t="s">
        <v>494</v>
      </c>
      <c r="B86" s="165" t="s">
        <v>331</v>
      </c>
      <c r="C86" s="165" t="s">
        <v>495</v>
      </c>
      <c r="D86" s="167"/>
      <c r="E86" s="167"/>
      <c r="F86" s="166">
        <v>18</v>
      </c>
      <c r="G86" s="166">
        <v>16</v>
      </c>
      <c r="H86" s="166">
        <v>2</v>
      </c>
      <c r="I86" s="167"/>
    </row>
    <row r="87" ht="59.950000000000003" hidden="1" customHeight="1" outlineLevel="4">
      <c r="A87" s="164" t="s">
        <v>496</v>
      </c>
      <c r="B87" s="165" t="s">
        <v>331</v>
      </c>
      <c r="C87" s="165" t="s">
        <v>497</v>
      </c>
      <c r="D87" s="167"/>
      <c r="E87" s="167"/>
      <c r="F87" s="166">
        <v>4</v>
      </c>
      <c r="G87" s="166">
        <v>4</v>
      </c>
      <c r="H87" s="167"/>
      <c r="I87" s="167"/>
    </row>
    <row r="88" ht="59.950000000000003" hidden="1" customHeight="1" outlineLevel="4">
      <c r="A88" s="164" t="s">
        <v>498</v>
      </c>
      <c r="B88" s="165" t="s">
        <v>331</v>
      </c>
      <c r="C88" s="165" t="s">
        <v>499</v>
      </c>
      <c r="D88" s="167"/>
      <c r="E88" s="167"/>
      <c r="F88" s="166">
        <v>2</v>
      </c>
      <c r="G88" s="166">
        <v>2</v>
      </c>
      <c r="H88" s="167"/>
      <c r="I88" s="167"/>
    </row>
    <row r="89" ht="59.950000000000003" hidden="1" customHeight="1" outlineLevel="4">
      <c r="A89" s="164" t="s">
        <v>500</v>
      </c>
      <c r="B89" s="165" t="s">
        <v>331</v>
      </c>
      <c r="C89" s="165" t="s">
        <v>501</v>
      </c>
      <c r="D89" s="167"/>
      <c r="E89" s="167"/>
      <c r="F89" s="166">
        <v>2</v>
      </c>
      <c r="G89" s="166">
        <v>2</v>
      </c>
      <c r="H89" s="167"/>
      <c r="I89" s="167"/>
    </row>
    <row r="90" ht="12.25" hidden="1" customHeight="1" outlineLevel="4">
      <c r="A90" s="164" t="s">
        <v>502</v>
      </c>
      <c r="B90" s="165" t="s">
        <v>331</v>
      </c>
      <c r="C90" s="165" t="s">
        <v>503</v>
      </c>
      <c r="D90" s="166">
        <v>3</v>
      </c>
      <c r="E90" s="167"/>
      <c r="F90" s="167"/>
      <c r="G90" s="166">
        <v>3</v>
      </c>
      <c r="H90" s="167"/>
      <c r="I90" s="167"/>
    </row>
    <row r="91" ht="12.25" hidden="1" customHeight="1" outlineLevel="4">
      <c r="A91" s="164" t="s">
        <v>504</v>
      </c>
      <c r="B91" s="165" t="s">
        <v>331</v>
      </c>
      <c r="C91" s="165" t="s">
        <v>505</v>
      </c>
      <c r="D91" s="167"/>
      <c r="E91" s="167"/>
      <c r="F91" s="166">
        <v>2</v>
      </c>
      <c r="G91" s="166">
        <v>2</v>
      </c>
      <c r="H91" s="167"/>
      <c r="I91" s="167"/>
    </row>
    <row r="92" ht="23.949999999999999" hidden="1" customHeight="1" outlineLevel="4">
      <c r="A92" s="164" t="s">
        <v>506</v>
      </c>
      <c r="B92" s="165" t="s">
        <v>331</v>
      </c>
      <c r="C92" s="165" t="s">
        <v>507</v>
      </c>
      <c r="D92" s="166">
        <v>15</v>
      </c>
      <c r="E92" s="167"/>
      <c r="F92" s="166">
        <v>2</v>
      </c>
      <c r="G92" s="166">
        <v>17</v>
      </c>
      <c r="H92" s="167"/>
      <c r="I92" s="167"/>
    </row>
    <row r="93" ht="23.949999999999999" hidden="1" customHeight="1" outlineLevel="4">
      <c r="A93" s="164" t="s">
        <v>508</v>
      </c>
      <c r="B93" s="165" t="s">
        <v>331</v>
      </c>
      <c r="C93" s="165" t="s">
        <v>509</v>
      </c>
      <c r="D93" s="166">
        <v>3</v>
      </c>
      <c r="E93" s="167"/>
      <c r="F93" s="167"/>
      <c r="G93" s="166">
        <v>3</v>
      </c>
      <c r="H93" s="167"/>
      <c r="I93" s="167"/>
    </row>
    <row r="94" ht="23.949999999999999" hidden="1" customHeight="1" outlineLevel="4">
      <c r="A94" s="164" t="s">
        <v>510</v>
      </c>
      <c r="B94" s="165" t="s">
        <v>331</v>
      </c>
      <c r="C94" s="165" t="s">
        <v>511</v>
      </c>
      <c r="D94" s="166">
        <v>31</v>
      </c>
      <c r="E94" s="167"/>
      <c r="F94" s="166">
        <v>7</v>
      </c>
      <c r="G94" s="166">
        <v>38</v>
      </c>
      <c r="H94" s="167"/>
      <c r="I94" s="167"/>
    </row>
    <row r="95" ht="23.949999999999999" hidden="1" customHeight="1" outlineLevel="4">
      <c r="A95" s="164" t="s">
        <v>512</v>
      </c>
      <c r="B95" s="165" t="s">
        <v>331</v>
      </c>
      <c r="C95" s="165" t="s">
        <v>513</v>
      </c>
      <c r="D95" s="166">
        <v>27</v>
      </c>
      <c r="E95" s="167"/>
      <c r="F95" s="167"/>
      <c r="G95" s="166">
        <v>27</v>
      </c>
      <c r="H95" s="167"/>
      <c r="I95" s="167"/>
    </row>
    <row r="96" ht="36" customHeight="1" outlineLevel="4">
      <c r="A96" s="168" t="s">
        <v>514</v>
      </c>
      <c r="B96" s="169" t="s">
        <v>331</v>
      </c>
      <c r="C96" s="169" t="s">
        <v>271</v>
      </c>
      <c r="D96" s="170">
        <v>13</v>
      </c>
      <c r="E96" s="171"/>
      <c r="F96" s="171"/>
      <c r="G96" s="171"/>
      <c r="H96" s="170">
        <v>13</v>
      </c>
      <c r="I96" s="171"/>
    </row>
    <row r="97" ht="48.25" customHeight="1" outlineLevel="4">
      <c r="A97" s="164" t="s">
        <v>515</v>
      </c>
      <c r="B97" s="165" t="s">
        <v>331</v>
      </c>
      <c r="C97" s="165" t="s">
        <v>516</v>
      </c>
      <c r="D97" s="166">
        <v>4</v>
      </c>
      <c r="E97" s="167"/>
      <c r="F97" s="166">
        <v>2</v>
      </c>
      <c r="G97" s="166">
        <v>4</v>
      </c>
      <c r="H97" s="166">
        <v>2</v>
      </c>
      <c r="I97" s="167"/>
    </row>
    <row r="98" ht="36" customHeight="1" outlineLevel="4">
      <c r="A98" s="164" t="s">
        <v>517</v>
      </c>
      <c r="B98" s="165" t="s">
        <v>331</v>
      </c>
      <c r="C98" s="165" t="s">
        <v>518</v>
      </c>
      <c r="D98" s="166">
        <v>11</v>
      </c>
      <c r="E98" s="167"/>
      <c r="F98" s="167"/>
      <c r="G98" s="166">
        <v>4</v>
      </c>
      <c r="H98" s="166">
        <v>7</v>
      </c>
      <c r="I98" s="167"/>
    </row>
    <row r="99" ht="36" customHeight="1" outlineLevel="4">
      <c r="A99" s="164" t="s">
        <v>519</v>
      </c>
      <c r="B99" s="165" t="s">
        <v>331</v>
      </c>
      <c r="C99" s="165" t="s">
        <v>520</v>
      </c>
      <c r="D99" s="166">
        <v>1</v>
      </c>
      <c r="E99" s="167"/>
      <c r="F99" s="166">
        <v>9</v>
      </c>
      <c r="G99" s="166">
        <v>6</v>
      </c>
      <c r="H99" s="166">
        <v>4</v>
      </c>
      <c r="I99" s="167"/>
    </row>
    <row r="100" ht="36" customHeight="1" outlineLevel="4">
      <c r="A100" s="164" t="s">
        <v>521</v>
      </c>
      <c r="B100" s="165" t="s">
        <v>331</v>
      </c>
      <c r="C100" s="165" t="s">
        <v>522</v>
      </c>
      <c r="D100" s="167"/>
      <c r="E100" s="167"/>
      <c r="F100" s="166">
        <v>2</v>
      </c>
      <c r="G100" s="167"/>
      <c r="H100" s="166">
        <v>2</v>
      </c>
      <c r="I100" s="167"/>
    </row>
    <row r="101" ht="36" hidden="1" customHeight="1" outlineLevel="4">
      <c r="A101" s="164" t="s">
        <v>523</v>
      </c>
      <c r="B101" s="165" t="s">
        <v>331</v>
      </c>
      <c r="C101" s="165" t="s">
        <v>524</v>
      </c>
      <c r="D101" s="166">
        <v>10</v>
      </c>
      <c r="E101" s="167"/>
      <c r="F101" s="167"/>
      <c r="G101" s="166">
        <v>10</v>
      </c>
      <c r="H101" s="167"/>
      <c r="I101" s="167"/>
    </row>
    <row r="102" ht="36" hidden="1" customHeight="1" outlineLevel="4">
      <c r="A102" s="164" t="s">
        <v>525</v>
      </c>
      <c r="B102" s="165" t="s">
        <v>331</v>
      </c>
      <c r="C102" s="165" t="s">
        <v>526</v>
      </c>
      <c r="D102" s="166">
        <v>4</v>
      </c>
      <c r="E102" s="167"/>
      <c r="F102" s="167"/>
      <c r="G102" s="166">
        <v>4</v>
      </c>
      <c r="H102" s="167"/>
      <c r="I102" s="167"/>
    </row>
    <row r="103" ht="36" customHeight="1" outlineLevel="4">
      <c r="A103" s="168" t="s">
        <v>527</v>
      </c>
      <c r="B103" s="169" t="s">
        <v>331</v>
      </c>
      <c r="C103" s="169" t="s">
        <v>281</v>
      </c>
      <c r="D103" s="170">
        <v>2</v>
      </c>
      <c r="E103" s="171"/>
      <c r="F103" s="171"/>
      <c r="G103" s="171"/>
      <c r="H103" s="170">
        <v>2</v>
      </c>
      <c r="I103" s="171"/>
    </row>
    <row r="104" ht="12.25" hidden="1" customHeight="1" outlineLevel="4">
      <c r="A104" s="164" t="s">
        <v>528</v>
      </c>
      <c r="B104" s="165" t="s">
        <v>331</v>
      </c>
      <c r="C104" s="165" t="s">
        <v>529</v>
      </c>
      <c r="D104" s="167"/>
      <c r="E104" s="167"/>
      <c r="F104" s="166">
        <v>6</v>
      </c>
      <c r="G104" s="166">
        <v>6</v>
      </c>
      <c r="H104" s="167"/>
      <c r="I104" s="167"/>
    </row>
    <row r="105" ht="12.25" customHeight="1" outlineLevel="4">
      <c r="A105" s="164" t="s">
        <v>530</v>
      </c>
      <c r="B105" s="165" t="s">
        <v>331</v>
      </c>
      <c r="C105" s="165" t="s">
        <v>531</v>
      </c>
      <c r="D105" s="166">
        <v>4</v>
      </c>
      <c r="E105" s="167"/>
      <c r="F105" s="167"/>
      <c r="G105" s="167"/>
      <c r="H105" s="166">
        <v>4</v>
      </c>
      <c r="I105" s="167"/>
    </row>
    <row r="106" ht="12.25" customHeight="1" outlineLevel="4">
      <c r="A106" s="164" t="s">
        <v>532</v>
      </c>
      <c r="B106" s="165" t="s">
        <v>331</v>
      </c>
      <c r="C106" s="165" t="s">
        <v>533</v>
      </c>
      <c r="D106" s="166">
        <v>2</v>
      </c>
      <c r="E106" s="167"/>
      <c r="F106" s="167"/>
      <c r="G106" s="167"/>
      <c r="H106" s="166">
        <v>2</v>
      </c>
      <c r="I106" s="167"/>
    </row>
    <row r="107" ht="12.25" hidden="1" customHeight="1" outlineLevel="4">
      <c r="A107" s="164" t="s">
        <v>534</v>
      </c>
      <c r="B107" s="165" t="s">
        <v>331</v>
      </c>
      <c r="C107" s="165" t="s">
        <v>535</v>
      </c>
      <c r="D107" s="166">
        <v>5</v>
      </c>
      <c r="E107" s="167"/>
      <c r="F107" s="167"/>
      <c r="G107" s="166">
        <v>5</v>
      </c>
      <c r="H107" s="167"/>
      <c r="I107" s="167"/>
    </row>
    <row r="108" ht="12.25" hidden="1" customHeight="1" outlineLevel="4">
      <c r="A108" s="164" t="s">
        <v>536</v>
      </c>
      <c r="B108" s="165" t="s">
        <v>331</v>
      </c>
      <c r="C108" s="165" t="s">
        <v>537</v>
      </c>
      <c r="D108" s="167"/>
      <c r="E108" s="167"/>
      <c r="F108" s="166">
        <v>3</v>
      </c>
      <c r="G108" s="166">
        <v>3</v>
      </c>
      <c r="H108" s="167"/>
      <c r="I108" s="167"/>
    </row>
    <row r="109" ht="48.25" hidden="1" customHeight="1" outlineLevel="4">
      <c r="A109" s="164" t="s">
        <v>538</v>
      </c>
      <c r="B109" s="165" t="s">
        <v>331</v>
      </c>
      <c r="C109" s="165" t="s">
        <v>539</v>
      </c>
      <c r="D109" s="167"/>
      <c r="E109" s="167"/>
      <c r="F109" s="166">
        <v>2</v>
      </c>
      <c r="G109" s="166">
        <v>2</v>
      </c>
      <c r="H109" s="167"/>
      <c r="I109" s="167"/>
    </row>
    <row r="110" ht="48.25" hidden="1" customHeight="1" outlineLevel="4">
      <c r="A110" s="164" t="s">
        <v>540</v>
      </c>
      <c r="B110" s="165" t="s">
        <v>331</v>
      </c>
      <c r="C110" s="165" t="s">
        <v>541</v>
      </c>
      <c r="D110" s="167"/>
      <c r="E110" s="167"/>
      <c r="F110" s="166">
        <v>2</v>
      </c>
      <c r="G110" s="166">
        <v>2</v>
      </c>
      <c r="H110" s="167"/>
      <c r="I110" s="167"/>
    </row>
    <row r="111" ht="48.25" hidden="1" customHeight="1" outlineLevel="4">
      <c r="A111" s="164" t="s">
        <v>542</v>
      </c>
      <c r="B111" s="165" t="s">
        <v>331</v>
      </c>
      <c r="C111" s="165" t="s">
        <v>543</v>
      </c>
      <c r="D111" s="167"/>
      <c r="E111" s="167"/>
      <c r="F111" s="166">
        <v>2</v>
      </c>
      <c r="G111" s="166">
        <v>2</v>
      </c>
      <c r="H111" s="167"/>
      <c r="I111" s="167"/>
    </row>
    <row r="112" ht="48.25" hidden="1" customHeight="1" outlineLevel="4">
      <c r="A112" s="164" t="s">
        <v>544</v>
      </c>
      <c r="B112" s="165" t="s">
        <v>331</v>
      </c>
      <c r="C112" s="165" t="s">
        <v>545</v>
      </c>
      <c r="D112" s="167"/>
      <c r="E112" s="167"/>
      <c r="F112" s="166">
        <v>2</v>
      </c>
      <c r="G112" s="166">
        <v>2</v>
      </c>
      <c r="H112" s="167"/>
      <c r="I112" s="167"/>
    </row>
    <row r="113" ht="36" hidden="1" customHeight="1" outlineLevel="4">
      <c r="A113" s="164" t="s">
        <v>546</v>
      </c>
      <c r="B113" s="165" t="s">
        <v>331</v>
      </c>
      <c r="C113" s="165" t="s">
        <v>547</v>
      </c>
      <c r="D113" s="167"/>
      <c r="E113" s="167"/>
      <c r="F113" s="166">
        <v>2</v>
      </c>
      <c r="G113" s="166">
        <v>2</v>
      </c>
      <c r="H113" s="167"/>
      <c r="I113" s="167"/>
    </row>
    <row r="114" ht="36" customHeight="1" outlineLevel="4">
      <c r="A114" s="164" t="s">
        <v>548</v>
      </c>
      <c r="B114" s="165" t="s">
        <v>331</v>
      </c>
      <c r="C114" s="165" t="s">
        <v>549</v>
      </c>
      <c r="D114" s="167"/>
      <c r="E114" s="167"/>
      <c r="F114" s="166">
        <v>2</v>
      </c>
      <c r="G114" s="167"/>
      <c r="H114" s="166">
        <v>2</v>
      </c>
      <c r="I114" s="167"/>
    </row>
    <row r="115" ht="36" customHeight="1" outlineLevel="4">
      <c r="A115" s="164" t="s">
        <v>550</v>
      </c>
      <c r="B115" s="165" t="s">
        <v>331</v>
      </c>
      <c r="C115" s="165" t="s">
        <v>551</v>
      </c>
      <c r="D115" s="167"/>
      <c r="E115" s="167"/>
      <c r="F115" s="166">
        <v>2</v>
      </c>
      <c r="G115" s="167"/>
      <c r="H115" s="166">
        <v>2</v>
      </c>
      <c r="I115" s="167"/>
    </row>
    <row r="116" ht="36" customHeight="1" outlineLevel="4">
      <c r="A116" s="164" t="s">
        <v>552</v>
      </c>
      <c r="B116" s="165" t="s">
        <v>331</v>
      </c>
      <c r="C116" s="165" t="s">
        <v>553</v>
      </c>
      <c r="D116" s="167"/>
      <c r="E116" s="167"/>
      <c r="F116" s="166">
        <v>2</v>
      </c>
      <c r="G116" s="167"/>
      <c r="H116" s="166">
        <v>2</v>
      </c>
      <c r="I116" s="167"/>
    </row>
    <row r="117" ht="12.25" hidden="1" customHeight="1" outlineLevel="4">
      <c r="A117" s="164" t="s">
        <v>554</v>
      </c>
      <c r="B117" s="165" t="s">
        <v>331</v>
      </c>
      <c r="C117" s="165" t="s">
        <v>555</v>
      </c>
      <c r="D117" s="167"/>
      <c r="E117" s="167"/>
      <c r="F117" s="166">
        <v>10</v>
      </c>
      <c r="G117" s="166">
        <v>10</v>
      </c>
      <c r="H117" s="167"/>
      <c r="I117" s="167"/>
    </row>
    <row r="118" ht="12.25" hidden="1" customHeight="1" outlineLevel="4">
      <c r="A118" s="164" t="s">
        <v>80</v>
      </c>
      <c r="B118" s="165" t="s">
        <v>556</v>
      </c>
      <c r="C118" s="165" t="s">
        <v>557</v>
      </c>
      <c r="D118" s="167"/>
      <c r="E118" s="167"/>
      <c r="F118" s="166">
        <v>176.94999999999999</v>
      </c>
      <c r="G118" s="166">
        <v>176.94999999999999</v>
      </c>
      <c r="H118" s="167"/>
      <c r="I118" s="167"/>
    </row>
    <row r="119" ht="12.25" hidden="1" customHeight="1" outlineLevel="4">
      <c r="A119" s="164" t="s">
        <v>558</v>
      </c>
      <c r="B119" s="165" t="s">
        <v>331</v>
      </c>
      <c r="C119" s="165" t="s">
        <v>559</v>
      </c>
      <c r="D119" s="166">
        <v>2</v>
      </c>
      <c r="E119" s="167"/>
      <c r="F119" s="167"/>
      <c r="G119" s="166">
        <v>2</v>
      </c>
      <c r="H119" s="167"/>
      <c r="I119" s="167"/>
    </row>
    <row r="120" ht="23.949999999999999" hidden="1" customHeight="1" outlineLevel="4">
      <c r="A120" s="164" t="s">
        <v>560</v>
      </c>
      <c r="B120" s="165" t="s">
        <v>83</v>
      </c>
      <c r="C120" s="165" t="s">
        <v>561</v>
      </c>
      <c r="D120" s="167"/>
      <c r="E120" s="167"/>
      <c r="F120" s="166">
        <v>40</v>
      </c>
      <c r="G120" s="166">
        <v>40</v>
      </c>
      <c r="H120" s="167"/>
      <c r="I120" s="167"/>
    </row>
    <row r="121" ht="12.25" hidden="1" customHeight="1" outlineLevel="4">
      <c r="A121" s="164" t="s">
        <v>562</v>
      </c>
      <c r="B121" s="165" t="s">
        <v>331</v>
      </c>
      <c r="C121" s="165" t="s">
        <v>563</v>
      </c>
      <c r="D121" s="167"/>
      <c r="E121" s="167"/>
      <c r="F121" s="166">
        <v>2</v>
      </c>
      <c r="G121" s="166">
        <v>2</v>
      </c>
      <c r="H121" s="167"/>
      <c r="I121" s="167"/>
    </row>
    <row r="122" ht="12.25" hidden="1" customHeight="1" outlineLevel="4">
      <c r="A122" s="164" t="s">
        <v>564</v>
      </c>
      <c r="B122" s="165" t="s">
        <v>331</v>
      </c>
      <c r="C122" s="165" t="s">
        <v>565</v>
      </c>
      <c r="D122" s="166">
        <v>6</v>
      </c>
      <c r="E122" s="167"/>
      <c r="F122" s="167"/>
      <c r="G122" s="166">
        <v>6</v>
      </c>
      <c r="H122" s="167"/>
      <c r="I122" s="167"/>
    </row>
    <row r="123" ht="12.25" hidden="1" customHeight="1" outlineLevel="4">
      <c r="A123" s="164" t="s">
        <v>566</v>
      </c>
      <c r="B123" s="165" t="s">
        <v>567</v>
      </c>
      <c r="C123" s="165" t="s">
        <v>568</v>
      </c>
      <c r="D123" s="167"/>
      <c r="E123" s="167"/>
      <c r="F123" s="166">
        <v>3</v>
      </c>
      <c r="G123" s="166">
        <v>3</v>
      </c>
      <c r="H123" s="167"/>
      <c r="I123" s="167"/>
    </row>
    <row r="124" ht="23.949999999999999" hidden="1" customHeight="1" outlineLevel="4">
      <c r="A124" s="164" t="s">
        <v>139</v>
      </c>
      <c r="B124" s="165" t="s">
        <v>72</v>
      </c>
      <c r="C124" s="165" t="s">
        <v>569</v>
      </c>
      <c r="D124" s="166">
        <v>1</v>
      </c>
      <c r="E124" s="167"/>
      <c r="F124" s="166">
        <v>2</v>
      </c>
      <c r="G124" s="166">
        <v>3</v>
      </c>
      <c r="H124" s="167"/>
      <c r="I124" s="167"/>
    </row>
    <row r="125" ht="12.25" hidden="1" customHeight="1" outlineLevel="4">
      <c r="A125" s="164" t="s">
        <v>570</v>
      </c>
      <c r="B125" s="165" t="s">
        <v>331</v>
      </c>
      <c r="C125" s="165" t="s">
        <v>571</v>
      </c>
      <c r="D125" s="167"/>
      <c r="E125" s="167"/>
      <c r="F125" s="166">
        <v>2</v>
      </c>
      <c r="G125" s="166">
        <v>2</v>
      </c>
      <c r="H125" s="167"/>
      <c r="I125" s="167"/>
    </row>
    <row r="126" ht="23.949999999999999" hidden="1" customHeight="1" outlineLevel="4">
      <c r="A126" s="164" t="s">
        <v>572</v>
      </c>
      <c r="B126" s="165" t="s">
        <v>331</v>
      </c>
      <c r="C126" s="165" t="s">
        <v>573</v>
      </c>
      <c r="D126" s="167"/>
      <c r="E126" s="167"/>
      <c r="F126" s="166">
        <v>2</v>
      </c>
      <c r="G126" s="166">
        <v>2</v>
      </c>
      <c r="H126" s="167"/>
      <c r="I126" s="167"/>
    </row>
    <row r="127" ht="48.25" customHeight="1" outlineLevel="4">
      <c r="A127" s="164" t="s">
        <v>574</v>
      </c>
      <c r="B127" s="165" t="s">
        <v>331</v>
      </c>
      <c r="C127" s="165" t="s">
        <v>575</v>
      </c>
      <c r="D127" s="167"/>
      <c r="E127" s="167"/>
      <c r="F127" s="166">
        <v>1</v>
      </c>
      <c r="G127" s="167"/>
      <c r="H127" s="166">
        <v>1</v>
      </c>
      <c r="I127" s="167"/>
    </row>
    <row r="128" ht="48.25" hidden="1" customHeight="1" outlineLevel="4">
      <c r="A128" s="164" t="s">
        <v>576</v>
      </c>
      <c r="B128" s="165" t="s">
        <v>331</v>
      </c>
      <c r="C128" s="165" t="s">
        <v>577</v>
      </c>
      <c r="D128" s="167"/>
      <c r="E128" s="167"/>
      <c r="F128" s="166">
        <v>1</v>
      </c>
      <c r="G128" s="166">
        <v>1</v>
      </c>
      <c r="H128" s="167"/>
      <c r="I128" s="167"/>
    </row>
    <row r="129" ht="48.25" hidden="1" customHeight="1" outlineLevel="4">
      <c r="A129" s="164" t="s">
        <v>578</v>
      </c>
      <c r="B129" s="165" t="s">
        <v>331</v>
      </c>
      <c r="C129" s="165" t="s">
        <v>579</v>
      </c>
      <c r="D129" s="167"/>
      <c r="E129" s="167"/>
      <c r="F129" s="166">
        <v>1</v>
      </c>
      <c r="G129" s="166">
        <v>1</v>
      </c>
      <c r="H129" s="167"/>
      <c r="I129" s="167"/>
    </row>
    <row r="130" ht="36" customHeight="1" outlineLevel="4">
      <c r="A130" s="164" t="s">
        <v>580</v>
      </c>
      <c r="B130" s="165" t="s">
        <v>331</v>
      </c>
      <c r="C130" s="165" t="s">
        <v>581</v>
      </c>
      <c r="D130" s="167"/>
      <c r="E130" s="167"/>
      <c r="F130" s="166">
        <v>1</v>
      </c>
      <c r="G130" s="167"/>
      <c r="H130" s="166">
        <v>1</v>
      </c>
      <c r="I130" s="167"/>
    </row>
    <row r="131" ht="36" customHeight="1" outlineLevel="4">
      <c r="A131" s="164" t="s">
        <v>582</v>
      </c>
      <c r="B131" s="165" t="s">
        <v>331</v>
      </c>
      <c r="C131" s="165" t="s">
        <v>583</v>
      </c>
      <c r="D131" s="166">
        <v>1</v>
      </c>
      <c r="E131" s="167"/>
      <c r="F131" s="167"/>
      <c r="G131" s="167"/>
      <c r="H131" s="166">
        <v>1</v>
      </c>
      <c r="I131" s="167"/>
    </row>
    <row r="132" ht="36" hidden="1" customHeight="1" outlineLevel="4">
      <c r="A132" s="164" t="s">
        <v>584</v>
      </c>
      <c r="B132" s="165" t="s">
        <v>331</v>
      </c>
      <c r="C132" s="165" t="s">
        <v>585</v>
      </c>
      <c r="D132" s="167"/>
      <c r="E132" s="167"/>
      <c r="F132" s="166">
        <v>1</v>
      </c>
      <c r="G132" s="166">
        <v>1</v>
      </c>
      <c r="H132" s="167"/>
      <c r="I132" s="167"/>
    </row>
    <row r="133" ht="36" customHeight="1" outlineLevel="4">
      <c r="A133" s="164" t="s">
        <v>586</v>
      </c>
      <c r="B133" s="165" t="s">
        <v>331</v>
      </c>
      <c r="C133" s="165" t="s">
        <v>587</v>
      </c>
      <c r="D133" s="167"/>
      <c r="E133" s="167"/>
      <c r="F133" s="166">
        <v>2</v>
      </c>
      <c r="G133" s="167"/>
      <c r="H133" s="166">
        <v>2</v>
      </c>
      <c r="I133" s="167"/>
    </row>
    <row r="134" ht="36" customHeight="1" outlineLevel="4">
      <c r="A134" s="168" t="s">
        <v>588</v>
      </c>
      <c r="B134" s="169" t="s">
        <v>331</v>
      </c>
      <c r="C134" s="169" t="s">
        <v>289</v>
      </c>
      <c r="D134" s="171"/>
      <c r="E134" s="171"/>
      <c r="F134" s="170">
        <v>2</v>
      </c>
      <c r="G134" s="171"/>
      <c r="H134" s="170">
        <v>2</v>
      </c>
      <c r="I134" s="171"/>
    </row>
    <row r="135" ht="36" customHeight="1" outlineLevel="4">
      <c r="A135" s="164" t="s">
        <v>589</v>
      </c>
      <c r="B135" s="165" t="s">
        <v>331</v>
      </c>
      <c r="C135" s="165" t="s">
        <v>590</v>
      </c>
      <c r="D135" s="167"/>
      <c r="E135" s="167"/>
      <c r="F135" s="166">
        <v>1</v>
      </c>
      <c r="G135" s="167"/>
      <c r="H135" s="166">
        <v>1</v>
      </c>
      <c r="I135" s="167"/>
    </row>
    <row r="136" ht="23.949999999999999" customHeight="1" outlineLevel="4">
      <c r="A136" s="164" t="s">
        <v>591</v>
      </c>
      <c r="B136" s="165" t="s">
        <v>331</v>
      </c>
      <c r="C136" s="165" t="s">
        <v>592</v>
      </c>
      <c r="D136" s="167"/>
      <c r="E136" s="167"/>
      <c r="F136" s="166">
        <v>2</v>
      </c>
      <c r="G136" s="167"/>
      <c r="H136" s="166">
        <v>2</v>
      </c>
      <c r="I136" s="167"/>
    </row>
    <row r="137" ht="23.949999999999999" customHeight="1" outlineLevel="4">
      <c r="A137" s="168" t="s">
        <v>593</v>
      </c>
      <c r="B137" s="169" t="s">
        <v>331</v>
      </c>
      <c r="C137" s="169" t="s">
        <v>291</v>
      </c>
      <c r="D137" s="171"/>
      <c r="E137" s="171"/>
      <c r="F137" s="170">
        <v>2</v>
      </c>
      <c r="G137" s="171"/>
      <c r="H137" s="170">
        <v>2</v>
      </c>
      <c r="I137" s="171"/>
    </row>
    <row r="138" ht="23.949999999999999" customHeight="1" outlineLevel="4">
      <c r="A138" s="164" t="s">
        <v>594</v>
      </c>
      <c r="B138" s="165" t="s">
        <v>331</v>
      </c>
      <c r="C138" s="165" t="s">
        <v>595</v>
      </c>
      <c r="D138" s="167"/>
      <c r="E138" s="167"/>
      <c r="F138" s="166">
        <v>1</v>
      </c>
      <c r="G138" s="167"/>
      <c r="H138" s="166">
        <v>1</v>
      </c>
      <c r="I138" s="167"/>
    </row>
    <row r="139" ht="23.949999999999999" hidden="1" customHeight="1" outlineLevel="4">
      <c r="A139" s="164" t="s">
        <v>596</v>
      </c>
      <c r="B139" s="165" t="s">
        <v>331</v>
      </c>
      <c r="C139" s="165" t="s">
        <v>597</v>
      </c>
      <c r="D139" s="166">
        <v>2</v>
      </c>
      <c r="E139" s="167"/>
      <c r="F139" s="167"/>
      <c r="G139" s="166">
        <v>2</v>
      </c>
      <c r="H139" s="167"/>
      <c r="I139" s="167"/>
    </row>
    <row r="140" ht="23.949999999999999" hidden="1" customHeight="1" outlineLevel="4">
      <c r="A140" s="164" t="s">
        <v>598</v>
      </c>
      <c r="B140" s="165" t="s">
        <v>331</v>
      </c>
      <c r="C140" s="165" t="s">
        <v>599</v>
      </c>
      <c r="D140" s="167"/>
      <c r="E140" s="167"/>
      <c r="F140" s="166">
        <v>1</v>
      </c>
      <c r="G140" s="166">
        <v>1</v>
      </c>
      <c r="H140" s="167"/>
      <c r="I140" s="167"/>
    </row>
    <row r="141" ht="23.949999999999999" customHeight="1" outlineLevel="4">
      <c r="A141" s="164" t="s">
        <v>600</v>
      </c>
      <c r="B141" s="165" t="s">
        <v>331</v>
      </c>
      <c r="C141" s="165" t="s">
        <v>601</v>
      </c>
      <c r="D141" s="167"/>
      <c r="E141" s="167"/>
      <c r="F141" s="166">
        <v>1</v>
      </c>
      <c r="G141" s="167"/>
      <c r="H141" s="166">
        <v>1</v>
      </c>
      <c r="I141" s="167"/>
    </row>
    <row r="142" ht="23.949999999999999" hidden="1" customHeight="1" outlineLevel="4">
      <c r="A142" s="164" t="s">
        <v>602</v>
      </c>
      <c r="B142" s="165" t="s">
        <v>331</v>
      </c>
      <c r="C142" s="165" t="s">
        <v>603</v>
      </c>
      <c r="D142" s="167"/>
      <c r="E142" s="167"/>
      <c r="F142" s="166">
        <v>2</v>
      </c>
      <c r="G142" s="166">
        <v>2</v>
      </c>
      <c r="H142" s="167"/>
      <c r="I142" s="167"/>
    </row>
    <row r="143" ht="36" customHeight="1" outlineLevel="4">
      <c r="A143" s="164" t="s">
        <v>604</v>
      </c>
      <c r="B143" s="165" t="s">
        <v>331</v>
      </c>
      <c r="C143" s="165" t="s">
        <v>605</v>
      </c>
      <c r="D143" s="166">
        <v>1</v>
      </c>
      <c r="E143" s="167"/>
      <c r="F143" s="167"/>
      <c r="G143" s="167"/>
      <c r="H143" s="166">
        <v>1</v>
      </c>
      <c r="I143" s="167"/>
    </row>
    <row r="144" ht="36" hidden="1" customHeight="1" outlineLevel="4">
      <c r="A144" s="164" t="s">
        <v>606</v>
      </c>
      <c r="B144" s="165" t="s">
        <v>331</v>
      </c>
      <c r="C144" s="165" t="s">
        <v>607</v>
      </c>
      <c r="D144" s="167"/>
      <c r="E144" s="167"/>
      <c r="F144" s="166">
        <v>1</v>
      </c>
      <c r="G144" s="166">
        <v>1</v>
      </c>
      <c r="H144" s="167"/>
      <c r="I144" s="167"/>
    </row>
    <row r="145" ht="36" hidden="1" customHeight="1" outlineLevel="4">
      <c r="A145" s="164" t="s">
        <v>608</v>
      </c>
      <c r="B145" s="165" t="s">
        <v>331</v>
      </c>
      <c r="C145" s="165" t="s">
        <v>609</v>
      </c>
      <c r="D145" s="167"/>
      <c r="E145" s="167"/>
      <c r="F145" s="166">
        <v>2</v>
      </c>
      <c r="G145" s="166">
        <v>2</v>
      </c>
      <c r="H145" s="167"/>
      <c r="I145" s="167"/>
    </row>
    <row r="146" ht="36" customHeight="1" outlineLevel="4">
      <c r="A146" s="164" t="s">
        <v>610</v>
      </c>
      <c r="B146" s="165" t="s">
        <v>331</v>
      </c>
      <c r="C146" s="165" t="s">
        <v>611</v>
      </c>
      <c r="D146" s="167"/>
      <c r="E146" s="167"/>
      <c r="F146" s="166">
        <v>1</v>
      </c>
      <c r="G146" s="167"/>
      <c r="H146" s="166">
        <v>1</v>
      </c>
      <c r="I146" s="167"/>
    </row>
    <row r="147" ht="36" customHeight="1" outlineLevel="4">
      <c r="A147" s="164" t="s">
        <v>612</v>
      </c>
      <c r="B147" s="165" t="s">
        <v>331</v>
      </c>
      <c r="C147" s="165" t="s">
        <v>613</v>
      </c>
      <c r="D147" s="167"/>
      <c r="E147" s="167"/>
      <c r="F147" s="166">
        <v>1</v>
      </c>
      <c r="G147" s="167"/>
      <c r="H147" s="166">
        <v>1</v>
      </c>
      <c r="I147" s="167"/>
    </row>
    <row r="148" ht="36" hidden="1" customHeight="1" outlineLevel="4">
      <c r="A148" s="164" t="s">
        <v>614</v>
      </c>
      <c r="B148" s="165" t="s">
        <v>331</v>
      </c>
      <c r="C148" s="165" t="s">
        <v>615</v>
      </c>
      <c r="D148" s="167"/>
      <c r="E148" s="167"/>
      <c r="F148" s="166">
        <v>1</v>
      </c>
      <c r="G148" s="166">
        <v>1</v>
      </c>
      <c r="H148" s="167"/>
      <c r="I148" s="167"/>
    </row>
    <row r="149" ht="36" customHeight="1" outlineLevel="4">
      <c r="A149" s="164" t="s">
        <v>616</v>
      </c>
      <c r="B149" s="165" t="s">
        <v>331</v>
      </c>
      <c r="C149" s="165" t="s">
        <v>617</v>
      </c>
      <c r="D149" s="167"/>
      <c r="E149" s="167"/>
      <c r="F149" s="166">
        <v>12</v>
      </c>
      <c r="G149" s="166">
        <v>2</v>
      </c>
      <c r="H149" s="166">
        <v>10</v>
      </c>
      <c r="I149" s="167"/>
    </row>
    <row r="150" ht="48.25" hidden="1" customHeight="1" outlineLevel="4">
      <c r="A150" s="164" t="s">
        <v>618</v>
      </c>
      <c r="B150" s="165" t="s">
        <v>331</v>
      </c>
      <c r="C150" s="165" t="s">
        <v>619</v>
      </c>
      <c r="D150" s="167"/>
      <c r="E150" s="167"/>
      <c r="F150" s="166">
        <v>1</v>
      </c>
      <c r="G150" s="166">
        <v>1</v>
      </c>
      <c r="H150" s="167"/>
      <c r="I150" s="167"/>
    </row>
    <row r="151" ht="48.25" hidden="1" customHeight="1" outlineLevel="4">
      <c r="A151" s="164" t="s">
        <v>620</v>
      </c>
      <c r="B151" s="165" t="s">
        <v>331</v>
      </c>
      <c r="C151" s="165" t="s">
        <v>621</v>
      </c>
      <c r="D151" s="167"/>
      <c r="E151" s="167"/>
      <c r="F151" s="166">
        <v>1</v>
      </c>
      <c r="G151" s="166">
        <v>1</v>
      </c>
      <c r="H151" s="167"/>
      <c r="I151" s="167"/>
    </row>
    <row r="152" ht="36" customHeight="1" outlineLevel="4">
      <c r="A152" s="164" t="s">
        <v>622</v>
      </c>
      <c r="B152" s="165" t="s">
        <v>331</v>
      </c>
      <c r="C152" s="165" t="s">
        <v>623</v>
      </c>
      <c r="D152" s="167"/>
      <c r="E152" s="167"/>
      <c r="F152" s="166">
        <v>1</v>
      </c>
      <c r="G152" s="167"/>
      <c r="H152" s="166">
        <v>1</v>
      </c>
      <c r="I152" s="167"/>
    </row>
    <row r="153" ht="23.949999999999999" hidden="1" customHeight="1" outlineLevel="4">
      <c r="A153" s="164" t="s">
        <v>624</v>
      </c>
      <c r="B153" s="165" t="s">
        <v>625</v>
      </c>
      <c r="C153" s="165" t="s">
        <v>626</v>
      </c>
      <c r="D153" s="167"/>
      <c r="E153" s="167"/>
      <c r="F153" s="166">
        <v>2</v>
      </c>
      <c r="G153" s="166">
        <v>2</v>
      </c>
      <c r="H153" s="167"/>
      <c r="I153" s="167"/>
    </row>
    <row r="154" ht="23.949999999999999" customHeight="1" outlineLevel="4">
      <c r="A154" s="164" t="s">
        <v>627</v>
      </c>
      <c r="B154" s="165" t="s">
        <v>327</v>
      </c>
      <c r="C154" s="165" t="s">
        <v>628</v>
      </c>
      <c r="D154" s="167"/>
      <c r="E154" s="167"/>
      <c r="F154" s="166">
        <v>33</v>
      </c>
      <c r="G154" s="166">
        <v>11</v>
      </c>
      <c r="H154" s="166">
        <v>22</v>
      </c>
      <c r="I154" s="167"/>
    </row>
    <row r="155" ht="36" hidden="1" customHeight="1" outlineLevel="4">
      <c r="A155" s="164" t="s">
        <v>629</v>
      </c>
      <c r="B155" s="165" t="s">
        <v>327</v>
      </c>
      <c r="C155" s="165" t="s">
        <v>630</v>
      </c>
      <c r="D155" s="167"/>
      <c r="E155" s="167"/>
      <c r="F155" s="166">
        <v>398</v>
      </c>
      <c r="G155" s="166">
        <v>398</v>
      </c>
      <c r="H155" s="167"/>
      <c r="I155" s="167"/>
    </row>
    <row r="156" ht="36" hidden="1" customHeight="1" outlineLevel="4">
      <c r="A156" s="164" t="s">
        <v>631</v>
      </c>
      <c r="B156" s="165" t="s">
        <v>327</v>
      </c>
      <c r="C156" s="165" t="s">
        <v>632</v>
      </c>
      <c r="D156" s="166">
        <v>8</v>
      </c>
      <c r="E156" s="167"/>
      <c r="F156" s="167"/>
      <c r="G156" s="166">
        <v>8</v>
      </c>
      <c r="H156" s="167"/>
      <c r="I156" s="167"/>
    </row>
    <row r="157" ht="23.949999999999999" customHeight="1" outlineLevel="4">
      <c r="A157" s="168" t="s">
        <v>297</v>
      </c>
      <c r="B157" s="169" t="s">
        <v>327</v>
      </c>
      <c r="C157" s="169" t="s">
        <v>298</v>
      </c>
      <c r="D157" s="171"/>
      <c r="E157" s="171"/>
      <c r="F157" s="170">
        <v>245.44</v>
      </c>
      <c r="G157" s="170">
        <v>162</v>
      </c>
      <c r="H157" s="170">
        <v>83.439999999999998</v>
      </c>
      <c r="I157" s="171"/>
    </row>
    <row r="158" ht="36" hidden="1" customHeight="1" outlineLevel="4">
      <c r="A158" s="164" t="s">
        <v>633</v>
      </c>
      <c r="B158" s="165" t="s">
        <v>327</v>
      </c>
      <c r="C158" s="165" t="s">
        <v>634</v>
      </c>
      <c r="D158" s="167"/>
      <c r="E158" s="167"/>
      <c r="F158" s="166">
        <v>14.56</v>
      </c>
      <c r="G158" s="166">
        <v>14.56</v>
      </c>
      <c r="H158" s="167"/>
      <c r="I158" s="167"/>
    </row>
    <row r="159" ht="36" hidden="1" customHeight="1" outlineLevel="4">
      <c r="A159" s="164" t="s">
        <v>635</v>
      </c>
      <c r="B159" s="165" t="s">
        <v>327</v>
      </c>
      <c r="C159" s="165" t="s">
        <v>636</v>
      </c>
      <c r="D159" s="166">
        <v>19</v>
      </c>
      <c r="E159" s="167"/>
      <c r="F159" s="167"/>
      <c r="G159" s="166">
        <v>19</v>
      </c>
      <c r="H159" s="167"/>
      <c r="I159" s="167"/>
    </row>
    <row r="160" ht="36" hidden="1" customHeight="1" outlineLevel="4">
      <c r="A160" s="164" t="s">
        <v>637</v>
      </c>
      <c r="B160" s="165" t="s">
        <v>327</v>
      </c>
      <c r="C160" s="165" t="s">
        <v>638</v>
      </c>
      <c r="D160" s="166">
        <v>15</v>
      </c>
      <c r="E160" s="167"/>
      <c r="F160" s="167"/>
      <c r="G160" s="166">
        <v>15</v>
      </c>
      <c r="H160" s="167"/>
      <c r="I160" s="167"/>
    </row>
    <row r="161" ht="23.949999999999999" hidden="1" customHeight="1" outlineLevel="4">
      <c r="A161" s="164" t="s">
        <v>639</v>
      </c>
      <c r="B161" s="165" t="s">
        <v>327</v>
      </c>
      <c r="C161" s="165" t="s">
        <v>640</v>
      </c>
      <c r="D161" s="167"/>
      <c r="E161" s="167"/>
      <c r="F161" s="166">
        <v>128</v>
      </c>
      <c r="G161" s="166">
        <v>128</v>
      </c>
      <c r="H161" s="167"/>
      <c r="I161" s="167"/>
    </row>
    <row r="162" ht="23.949999999999999" customHeight="1" outlineLevel="4">
      <c r="A162" s="164" t="s">
        <v>641</v>
      </c>
      <c r="B162" s="165" t="s">
        <v>327</v>
      </c>
      <c r="C162" s="165" t="s">
        <v>642</v>
      </c>
      <c r="D162" s="166">
        <v>10</v>
      </c>
      <c r="E162" s="167"/>
      <c r="F162" s="167"/>
      <c r="G162" s="167"/>
      <c r="H162" s="166">
        <v>10</v>
      </c>
      <c r="I162" s="167"/>
    </row>
    <row r="163" ht="23.949999999999999" hidden="1" customHeight="1" outlineLevel="4">
      <c r="A163" s="164" t="s">
        <v>643</v>
      </c>
      <c r="B163" s="165" t="s">
        <v>327</v>
      </c>
      <c r="C163" s="165" t="s">
        <v>644</v>
      </c>
      <c r="D163" s="167"/>
      <c r="E163" s="167"/>
      <c r="F163" s="166">
        <v>16</v>
      </c>
      <c r="G163" s="166">
        <v>16</v>
      </c>
      <c r="H163" s="167"/>
      <c r="I163" s="167"/>
    </row>
    <row r="164" ht="23.949999999999999" customHeight="1" outlineLevel="4">
      <c r="A164" s="164" t="s">
        <v>645</v>
      </c>
      <c r="B164" s="165" t="s">
        <v>327</v>
      </c>
      <c r="C164" s="165" t="s">
        <v>646</v>
      </c>
      <c r="D164" s="167"/>
      <c r="E164" s="167"/>
      <c r="F164" s="166">
        <v>36</v>
      </c>
      <c r="G164" s="167"/>
      <c r="H164" s="166">
        <v>36</v>
      </c>
      <c r="I164" s="167"/>
    </row>
    <row r="165" ht="23.949999999999999" customHeight="1" outlineLevel="4">
      <c r="A165" s="164" t="s">
        <v>647</v>
      </c>
      <c r="B165" s="165" t="s">
        <v>327</v>
      </c>
      <c r="C165" s="165" t="s">
        <v>648</v>
      </c>
      <c r="D165" s="167"/>
      <c r="E165" s="167"/>
      <c r="F165" s="166">
        <v>40</v>
      </c>
      <c r="G165" s="167"/>
      <c r="H165" s="166">
        <v>40</v>
      </c>
      <c r="I165" s="167"/>
    </row>
    <row r="166" ht="23.949999999999999" hidden="1" customHeight="1" outlineLevel="4">
      <c r="A166" s="164" t="s">
        <v>649</v>
      </c>
      <c r="B166" s="165" t="s">
        <v>327</v>
      </c>
      <c r="C166" s="165" t="s">
        <v>650</v>
      </c>
      <c r="D166" s="166">
        <v>21</v>
      </c>
      <c r="E166" s="167"/>
      <c r="F166" s="167"/>
      <c r="G166" s="166">
        <v>21</v>
      </c>
      <c r="H166" s="167"/>
      <c r="I166" s="167"/>
    </row>
    <row r="167" ht="23.949999999999999" hidden="1" customHeight="1" outlineLevel="4">
      <c r="A167" s="164" t="s">
        <v>651</v>
      </c>
      <c r="B167" s="165" t="s">
        <v>327</v>
      </c>
      <c r="C167" s="165" t="s">
        <v>652</v>
      </c>
      <c r="D167" s="167"/>
      <c r="E167" s="167"/>
      <c r="F167" s="166">
        <v>12</v>
      </c>
      <c r="G167" s="166">
        <v>12</v>
      </c>
      <c r="H167" s="167"/>
      <c r="I167" s="167"/>
    </row>
    <row r="168" ht="23.949999999999999" customHeight="1" outlineLevel="4">
      <c r="A168" s="168" t="s">
        <v>653</v>
      </c>
      <c r="B168" s="169" t="s">
        <v>327</v>
      </c>
      <c r="C168" s="169" t="s">
        <v>302</v>
      </c>
      <c r="D168" s="171"/>
      <c r="E168" s="171"/>
      <c r="F168" s="170">
        <v>20</v>
      </c>
      <c r="G168" s="170">
        <v>7</v>
      </c>
      <c r="H168" s="170">
        <v>13</v>
      </c>
      <c r="I168" s="171"/>
    </row>
    <row r="169" ht="23.949999999999999" customHeight="1" outlineLevel="4">
      <c r="A169" s="168" t="s">
        <v>330</v>
      </c>
      <c r="B169" s="169" t="s">
        <v>327</v>
      </c>
      <c r="C169" s="169" t="s">
        <v>304</v>
      </c>
      <c r="D169" s="171"/>
      <c r="E169" s="171"/>
      <c r="F169" s="170">
        <v>250</v>
      </c>
      <c r="G169" s="170">
        <v>108</v>
      </c>
      <c r="H169" s="170">
        <v>142</v>
      </c>
      <c r="I169" s="171"/>
    </row>
    <row r="170" ht="23.949999999999999" customHeight="1" outlineLevel="4">
      <c r="A170" s="164" t="s">
        <v>654</v>
      </c>
      <c r="B170" s="165" t="s">
        <v>327</v>
      </c>
      <c r="C170" s="165" t="s">
        <v>655</v>
      </c>
      <c r="D170" s="167"/>
      <c r="E170" s="167"/>
      <c r="F170" s="166">
        <v>22</v>
      </c>
      <c r="G170" s="166">
        <v>4</v>
      </c>
      <c r="H170" s="166">
        <v>18</v>
      </c>
      <c r="I170" s="167"/>
    </row>
    <row r="171" ht="23.949999999999999" hidden="1" customHeight="1" outlineLevel="4">
      <c r="A171" s="164" t="s">
        <v>656</v>
      </c>
      <c r="B171" s="165" t="s">
        <v>327</v>
      </c>
      <c r="C171" s="165" t="s">
        <v>657</v>
      </c>
      <c r="D171" s="167"/>
      <c r="E171" s="167"/>
      <c r="F171" s="166">
        <v>14</v>
      </c>
      <c r="G171" s="166">
        <v>14</v>
      </c>
      <c r="H171" s="167"/>
      <c r="I171" s="167"/>
    </row>
    <row r="172" ht="23.949999999999999" hidden="1" customHeight="1" outlineLevel="4">
      <c r="A172" s="164" t="s">
        <v>658</v>
      </c>
      <c r="B172" s="165" t="s">
        <v>327</v>
      </c>
      <c r="C172" s="165" t="s">
        <v>659</v>
      </c>
      <c r="D172" s="167"/>
      <c r="E172" s="167"/>
      <c r="F172" s="166">
        <v>72</v>
      </c>
      <c r="G172" s="166">
        <v>72</v>
      </c>
      <c r="H172" s="167"/>
      <c r="I172" s="167"/>
    </row>
    <row r="173" ht="12.25" hidden="1" customHeight="1" outlineLevel="4">
      <c r="A173" s="164" t="s">
        <v>660</v>
      </c>
      <c r="B173" s="165" t="s">
        <v>331</v>
      </c>
      <c r="C173" s="165" t="s">
        <v>661</v>
      </c>
      <c r="D173" s="167"/>
      <c r="E173" s="167"/>
      <c r="F173" s="166">
        <v>4</v>
      </c>
      <c r="G173" s="166">
        <v>4</v>
      </c>
      <c r="H173" s="167"/>
      <c r="I173" s="167"/>
    </row>
    <row r="174" ht="12.25" hidden="1" customHeight="1" outlineLevel="4">
      <c r="A174" s="164" t="s">
        <v>662</v>
      </c>
      <c r="B174" s="165" t="s">
        <v>83</v>
      </c>
      <c r="C174" s="165" t="s">
        <v>663</v>
      </c>
      <c r="D174" s="167"/>
      <c r="E174" s="167"/>
      <c r="F174" s="166">
        <v>125</v>
      </c>
      <c r="G174" s="166">
        <v>125</v>
      </c>
      <c r="H174" s="167"/>
      <c r="I174" s="167"/>
    </row>
    <row r="175" ht="12.25" hidden="1" customHeight="1" outlineLevel="4">
      <c r="A175" s="164" t="s">
        <v>664</v>
      </c>
      <c r="B175" s="165" t="s">
        <v>83</v>
      </c>
      <c r="C175" s="165" t="s">
        <v>665</v>
      </c>
      <c r="D175" s="167"/>
      <c r="E175" s="167"/>
      <c r="F175" s="166">
        <v>500</v>
      </c>
      <c r="G175" s="166">
        <v>500</v>
      </c>
      <c r="H175" s="167"/>
      <c r="I175" s="167"/>
    </row>
    <row r="176" ht="12.25" hidden="1" customHeight="1" outlineLevel="4">
      <c r="A176" s="164" t="s">
        <v>666</v>
      </c>
      <c r="B176" s="165" t="s">
        <v>83</v>
      </c>
      <c r="C176" s="165" t="s">
        <v>667</v>
      </c>
      <c r="D176" s="167"/>
      <c r="E176" s="167"/>
      <c r="F176" s="166">
        <v>100</v>
      </c>
      <c r="G176" s="166">
        <v>100</v>
      </c>
      <c r="H176" s="167"/>
      <c r="I176" s="167"/>
    </row>
    <row r="177" ht="12.25" hidden="1" customHeight="1" outlineLevel="4">
      <c r="A177" s="164" t="s">
        <v>668</v>
      </c>
      <c r="B177" s="165" t="s">
        <v>83</v>
      </c>
      <c r="C177" s="165" t="s">
        <v>669</v>
      </c>
      <c r="D177" s="167"/>
      <c r="E177" s="167"/>
      <c r="F177" s="166">
        <v>153</v>
      </c>
      <c r="G177" s="166">
        <v>153</v>
      </c>
      <c r="H177" s="167"/>
      <c r="I177" s="167"/>
    </row>
  </sheetData>
  <autoFilter ref="A15:I177">
    <filterColumn colId="0" showButton="0"/>
    <filterColumn colId="1" showButton="0"/>
    <filterColumn colId="7">
      <customFilters>
        <customFilter operator="notEqual" val=" "/>
      </customFilters>
    </filterColumn>
  </autoFilter>
  <mergeCells count="21">
    <mergeCell ref="A4:I4"/>
    <mergeCell ref="A6:I6"/>
    <mergeCell ref="A8:C8"/>
    <mergeCell ref="D8:E8"/>
    <mergeCell ref="F8:G8"/>
    <mergeCell ref="H8:I8"/>
    <mergeCell ref="A9:C9"/>
    <mergeCell ref="D9:D11"/>
    <mergeCell ref="E9:E11"/>
    <mergeCell ref="F9:F11"/>
    <mergeCell ref="G9:G11"/>
    <mergeCell ref="H9:H11"/>
    <mergeCell ref="I9:I11"/>
    <mergeCell ref="A10:C10"/>
    <mergeCell ref="A12:C12"/>
    <mergeCell ref="A13:C13"/>
    <mergeCell ref="A14:C14"/>
    <mergeCell ref="A15:C15"/>
    <mergeCell ref="A16:C16"/>
    <mergeCell ref="A17:C17"/>
    <mergeCell ref="A18:C18"/>
  </mergeCells>
  <printOptions headings="0" gridLines="0"/>
  <pageMargins left="0.19685039370078738" right="0.19685039370078738" top="0.39370078740157477" bottom="0.39370078740157477" header="0" footer="0"/>
  <pageSetup paperSize="9" scale="100" fitToWidth="1" fitToHeight="0" pageOrder="overThenDown" orientation="portrait" usePrinterDefaults="1" blackAndWhite="0" draft="0" cellComments="none" useFirstPageNumber="0" errors="displayed" horizontalDpi="600" verticalDpi="600" copies="1"/>
  <headerFooter>
    <oddHeader>&amp;L&amp;"Microsoft Sans Serif,normal"&amp;8&amp;T &amp;D</oddHeader>
    <oddFooter>&amp;C&amp;"Microsoft Sans Serif,normal"&amp;8&amp;P из  &amp;N&amp;R&amp;"Microsoft Sans Serif,normal"&amp;8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4" tint="0.79998168889431442"/>
    <outlinePr applyStyles="0" summaryBelow="1" summaryRight="1" showOutlineSymbols="1"/>
    <pageSetUpPr autoPageBreaks="1" fitToPage="1"/>
  </sheetPr>
  <sheetViews>
    <sheetView topLeftCell="A64" zoomScale="100" workbookViewId="0">
      <selection activeCell="G156" activeCellId="0" sqref="G156"/>
    </sheetView>
  </sheetViews>
  <sheetFormatPr defaultColWidth="9.125" defaultRowHeight="12.75"/>
  <cols>
    <col min="1" max="1" style="172" width="9.125"/>
    <col customWidth="1" min="2" max="2" style="173" width="99.75"/>
    <col bestFit="1" customWidth="1" min="3" max="3" style="172" width="11.125"/>
    <col bestFit="1" customWidth="1" min="4" max="4" style="174" width="15.375"/>
    <col customWidth="1" min="5" max="5" style="172" width="38.625"/>
    <col min="6" max="16384" style="172" width="9.125"/>
  </cols>
  <sheetData>
    <row r="1" ht="15">
      <c r="E1" s="175" t="s">
        <v>670</v>
      </c>
    </row>
    <row r="2" ht="60">
      <c r="E2" s="175" t="s">
        <v>671</v>
      </c>
    </row>
    <row r="3" ht="15">
      <c r="E3" s="175" t="s">
        <v>672</v>
      </c>
    </row>
    <row r="4" ht="15">
      <c r="E4" s="175" t="s">
        <v>673</v>
      </c>
    </row>
    <row r="5" ht="15">
      <c r="E5" s="175" t="s">
        <v>674</v>
      </c>
    </row>
    <row r="7">
      <c r="A7" s="176" t="s">
        <v>675</v>
      </c>
      <c r="B7" s="176"/>
      <c r="C7" s="176"/>
      <c r="D7" s="176"/>
      <c r="E7" s="176"/>
    </row>
    <row r="10" ht="39.25" customHeight="1">
      <c r="A10" s="177" t="s">
        <v>240</v>
      </c>
      <c r="B10" s="177" t="s">
        <v>676</v>
      </c>
      <c r="C10" s="177" t="s">
        <v>677</v>
      </c>
      <c r="D10" s="178" t="s">
        <v>678</v>
      </c>
      <c r="E10" s="177" t="s">
        <v>324</v>
      </c>
    </row>
    <row r="11">
      <c r="A11" s="179" t="s">
        <v>118</v>
      </c>
      <c r="B11" s="179"/>
      <c r="C11" s="179"/>
      <c r="D11" s="179"/>
      <c r="E11" s="180"/>
    </row>
    <row r="12" ht="15">
      <c r="A12" s="181">
        <v>1</v>
      </c>
      <c r="B12" s="182" t="s">
        <v>119</v>
      </c>
      <c r="C12" s="183" t="s">
        <v>35</v>
      </c>
      <c r="D12" s="183">
        <f>'Объемы работ 2026'!G2</f>
        <v>96</v>
      </c>
      <c r="E12" s="184" t="s">
        <v>679</v>
      </c>
    </row>
    <row r="13" ht="15">
      <c r="A13" s="181">
        <v>2</v>
      </c>
      <c r="B13" s="182" t="s">
        <v>121</v>
      </c>
      <c r="C13" s="183" t="s">
        <v>35</v>
      </c>
      <c r="D13" s="183">
        <f>'Объемы работ 2026'!G3</f>
        <v>138</v>
      </c>
      <c r="E13" s="185"/>
    </row>
    <row r="14" ht="15">
      <c r="A14" s="181">
        <v>3</v>
      </c>
      <c r="B14" s="182" t="s">
        <v>122</v>
      </c>
      <c r="C14" s="183" t="s">
        <v>35</v>
      </c>
      <c r="D14" s="183">
        <f>'Объемы работ 2026'!G4</f>
        <v>56</v>
      </c>
      <c r="E14" s="185"/>
    </row>
    <row r="15" ht="15">
      <c r="A15" s="181">
        <v>4</v>
      </c>
      <c r="B15" s="186" t="s">
        <v>123</v>
      </c>
      <c r="C15" s="183" t="s">
        <v>39</v>
      </c>
      <c r="D15" s="183">
        <f>'Объемы работ 2026'!G5</f>
        <v>4</v>
      </c>
      <c r="E15" s="185"/>
    </row>
    <row r="16" ht="15">
      <c r="A16" s="181">
        <v>5</v>
      </c>
      <c r="B16" s="182" t="s">
        <v>124</v>
      </c>
      <c r="C16" s="183" t="s">
        <v>39</v>
      </c>
      <c r="D16" s="183">
        <f>'Объемы работ 2026'!G6</f>
        <v>2</v>
      </c>
      <c r="E16" s="185"/>
    </row>
    <row r="17" ht="15">
      <c r="A17" s="181">
        <v>6</v>
      </c>
      <c r="B17" s="182" t="s">
        <v>125</v>
      </c>
      <c r="C17" s="183" t="s">
        <v>39</v>
      </c>
      <c r="D17" s="183">
        <f>'Объемы работ 2026'!G7</f>
        <v>4</v>
      </c>
      <c r="E17" s="185"/>
    </row>
    <row r="18" ht="15">
      <c r="A18" s="181">
        <v>7</v>
      </c>
      <c r="B18" s="182" t="s">
        <v>126</v>
      </c>
      <c r="C18" s="183" t="s">
        <v>39</v>
      </c>
      <c r="D18" s="183">
        <f>'Объемы работ 2026'!G8</f>
        <v>2</v>
      </c>
      <c r="E18" s="185"/>
    </row>
    <row r="19" ht="15">
      <c r="A19" s="181">
        <v>8</v>
      </c>
      <c r="B19" s="182" t="s">
        <v>127</v>
      </c>
      <c r="C19" s="183" t="s">
        <v>39</v>
      </c>
      <c r="D19" s="183">
        <f>'Объемы работ 2026'!G9</f>
        <v>2</v>
      </c>
      <c r="E19" s="185"/>
    </row>
    <row r="20" ht="15">
      <c r="A20" s="181">
        <v>9</v>
      </c>
      <c r="B20" s="187" t="s">
        <v>128</v>
      </c>
      <c r="C20" s="183" t="s">
        <v>39</v>
      </c>
      <c r="D20" s="183">
        <f>'Объемы работ 2026'!G10</f>
        <v>2</v>
      </c>
      <c r="E20" s="185"/>
    </row>
    <row r="21" ht="15">
      <c r="A21" s="181">
        <v>10</v>
      </c>
      <c r="B21" s="187" t="s">
        <v>131</v>
      </c>
      <c r="C21" s="183" t="s">
        <v>39</v>
      </c>
      <c r="D21" s="183">
        <f>'Объемы работ 2026'!G11</f>
        <v>2</v>
      </c>
      <c r="E21" s="185"/>
    </row>
    <row r="22" ht="15">
      <c r="A22" s="181">
        <v>11</v>
      </c>
      <c r="B22" s="186" t="s">
        <v>133</v>
      </c>
      <c r="C22" s="183" t="s">
        <v>39</v>
      </c>
      <c r="D22" s="183">
        <f>'Объемы работ 2026'!G12</f>
        <v>2</v>
      </c>
      <c r="E22" s="185"/>
    </row>
    <row r="23" ht="15">
      <c r="A23" s="181">
        <v>12</v>
      </c>
      <c r="B23" s="186" t="s">
        <v>134</v>
      </c>
      <c r="C23" s="183" t="s">
        <v>39</v>
      </c>
      <c r="D23" s="183">
        <f>'Объемы работ 2026'!G13</f>
        <v>2</v>
      </c>
      <c r="E23" s="185"/>
    </row>
    <row r="24" ht="15">
      <c r="A24" s="181">
        <v>13</v>
      </c>
      <c r="B24" s="187" t="s">
        <v>135</v>
      </c>
      <c r="C24" s="183" t="s">
        <v>39</v>
      </c>
      <c r="D24" s="183">
        <f>'Объемы работ 2026'!G14</f>
        <v>2</v>
      </c>
      <c r="E24" s="185"/>
    </row>
    <row r="25" ht="15">
      <c r="A25" s="181">
        <v>14</v>
      </c>
      <c r="B25" s="187" t="s">
        <v>136</v>
      </c>
      <c r="C25" s="183" t="s">
        <v>138</v>
      </c>
      <c r="D25" s="183">
        <f>'Объемы работ 2026'!G15</f>
        <v>5</v>
      </c>
      <c r="E25" s="185"/>
    </row>
    <row r="26" ht="15">
      <c r="A26" s="181">
        <v>15</v>
      </c>
      <c r="B26" s="187" t="s">
        <v>139</v>
      </c>
      <c r="C26" s="183" t="s">
        <v>141</v>
      </c>
      <c r="D26" s="183">
        <f>'Объемы работ 2026'!G16</f>
        <v>1</v>
      </c>
      <c r="E26" s="185"/>
    </row>
    <row r="27" ht="15">
      <c r="A27" s="181">
        <v>16</v>
      </c>
      <c r="B27" s="186" t="s">
        <v>142</v>
      </c>
      <c r="C27" s="183" t="s">
        <v>76</v>
      </c>
      <c r="D27" s="183">
        <f>'Объемы работ 2026'!G17</f>
        <v>75</v>
      </c>
      <c r="E27" s="185"/>
    </row>
    <row r="28" ht="15">
      <c r="A28" s="181">
        <v>17</v>
      </c>
      <c r="B28" s="187" t="s">
        <v>143</v>
      </c>
      <c r="C28" s="183" t="s">
        <v>76</v>
      </c>
      <c r="D28" s="183">
        <f>'Объемы работ 2026'!G18</f>
        <v>65</v>
      </c>
      <c r="E28" s="185"/>
    </row>
    <row r="29" ht="15">
      <c r="A29" s="181">
        <v>18</v>
      </c>
      <c r="B29" s="182" t="s">
        <v>144</v>
      </c>
      <c r="C29" s="183" t="s">
        <v>39</v>
      </c>
      <c r="D29" s="183">
        <f>'Объемы работ 2026'!G19</f>
        <v>120</v>
      </c>
      <c r="E29" s="185"/>
    </row>
    <row r="30" ht="15">
      <c r="A30" s="181">
        <v>19</v>
      </c>
      <c r="B30" s="182" t="s">
        <v>146</v>
      </c>
      <c r="C30" s="183" t="s">
        <v>39</v>
      </c>
      <c r="D30" s="183">
        <f>'Объемы работ 2026'!G20</f>
        <v>30</v>
      </c>
      <c r="E30" s="185"/>
    </row>
    <row r="31" ht="15">
      <c r="A31" s="181">
        <v>20</v>
      </c>
      <c r="B31" s="182" t="s">
        <v>148</v>
      </c>
      <c r="C31" s="183" t="s">
        <v>39</v>
      </c>
      <c r="D31" s="183">
        <f>'Объемы работ 2026'!G21</f>
        <v>8</v>
      </c>
      <c r="E31" s="185"/>
    </row>
    <row r="32" ht="15">
      <c r="A32" s="181">
        <v>21</v>
      </c>
      <c r="B32" s="182" t="s">
        <v>150</v>
      </c>
      <c r="C32" s="183" t="s">
        <v>39</v>
      </c>
      <c r="D32" s="183">
        <f>'Объемы работ 2026'!G22</f>
        <v>20</v>
      </c>
      <c r="E32" s="185"/>
    </row>
    <row r="33" ht="15">
      <c r="A33" s="181">
        <v>22</v>
      </c>
      <c r="B33" s="188" t="s">
        <v>152</v>
      </c>
      <c r="C33" s="183" t="s">
        <v>39</v>
      </c>
      <c r="D33" s="183">
        <f>'Объемы работ 2026'!G23</f>
        <v>20</v>
      </c>
      <c r="E33" s="185"/>
    </row>
    <row r="34" ht="15">
      <c r="A34" s="181">
        <v>23</v>
      </c>
      <c r="B34" s="188" t="s">
        <v>153</v>
      </c>
      <c r="C34" s="183" t="s">
        <v>39</v>
      </c>
      <c r="D34" s="183">
        <f>'Объемы работ 2026'!G24</f>
        <v>12</v>
      </c>
      <c r="E34" s="185"/>
    </row>
    <row r="35" ht="15">
      <c r="A35" s="181">
        <v>24</v>
      </c>
      <c r="B35" s="188" t="s">
        <v>154</v>
      </c>
      <c r="C35" s="183" t="s">
        <v>39</v>
      </c>
      <c r="D35" s="183">
        <f>'Объемы работ 2026'!G25</f>
        <v>1</v>
      </c>
      <c r="E35" s="185"/>
    </row>
    <row r="36" ht="15">
      <c r="A36" s="181">
        <v>25</v>
      </c>
      <c r="B36" s="188" t="s">
        <v>155</v>
      </c>
      <c r="C36" s="183" t="s">
        <v>156</v>
      </c>
      <c r="D36" s="183">
        <f>'Объемы работ 2026'!G26</f>
        <v>16</v>
      </c>
      <c r="E36" s="185"/>
    </row>
    <row r="37" ht="15">
      <c r="A37" s="181">
        <v>26</v>
      </c>
      <c r="B37" s="188" t="s">
        <v>157</v>
      </c>
      <c r="C37" s="183" t="s">
        <v>39</v>
      </c>
      <c r="D37" s="183">
        <f>'Объемы работ 2026'!G27</f>
        <v>1</v>
      </c>
      <c r="E37" s="185"/>
    </row>
    <row r="38">
      <c r="A38" s="189" t="s">
        <v>159</v>
      </c>
      <c r="B38" s="189"/>
      <c r="C38" s="189"/>
      <c r="D38" s="189"/>
      <c r="E38" s="190"/>
    </row>
    <row r="39" ht="15.65" customHeight="1">
      <c r="A39" s="181">
        <v>1</v>
      </c>
      <c r="B39" s="182" t="s">
        <v>160</v>
      </c>
      <c r="C39" s="183" t="s">
        <v>35</v>
      </c>
      <c r="D39" s="183">
        <f>'Объемы работ 2026'!G28</f>
        <v>110</v>
      </c>
      <c r="E39" s="184" t="s">
        <v>679</v>
      </c>
    </row>
    <row r="40" ht="15">
      <c r="A40" s="181">
        <v>2</v>
      </c>
      <c r="B40" s="182" t="s">
        <v>161</v>
      </c>
      <c r="C40" s="183" t="s">
        <v>35</v>
      </c>
      <c r="D40" s="183">
        <f>'Объемы работ 2026'!G29</f>
        <v>122</v>
      </c>
      <c r="E40" s="185"/>
    </row>
    <row r="41" ht="15">
      <c r="A41" s="181">
        <v>3</v>
      </c>
      <c r="B41" s="182" t="s">
        <v>162</v>
      </c>
      <c r="C41" s="183" t="s">
        <v>35</v>
      </c>
      <c r="D41" s="183">
        <f>'Объемы работ 2026'!G30</f>
        <v>110</v>
      </c>
      <c r="E41" s="185"/>
    </row>
    <row r="42" ht="15">
      <c r="A42" s="181">
        <v>4</v>
      </c>
      <c r="B42" s="182" t="s">
        <v>163</v>
      </c>
      <c r="C42" s="183" t="s">
        <v>35</v>
      </c>
      <c r="D42" s="183">
        <f>'Объемы работ 2026'!G31</f>
        <v>12</v>
      </c>
      <c r="E42" s="185"/>
    </row>
    <row r="43" ht="15">
      <c r="A43" s="181">
        <v>5</v>
      </c>
      <c r="B43" s="186" t="s">
        <v>164</v>
      </c>
      <c r="C43" s="183" t="s">
        <v>35</v>
      </c>
      <c r="D43" s="183">
        <f>'Объемы работ 2026'!G32</f>
        <v>162</v>
      </c>
      <c r="E43" s="185"/>
    </row>
    <row r="44" ht="15">
      <c r="A44" s="181">
        <v>6</v>
      </c>
      <c r="B44" s="187" t="s">
        <v>680</v>
      </c>
      <c r="C44" s="183" t="s">
        <v>35</v>
      </c>
      <c r="D44" s="183">
        <f>'Объемы работ 2026'!G33</f>
        <v>10</v>
      </c>
      <c r="E44" s="185"/>
    </row>
    <row r="45" ht="15">
      <c r="A45" s="181">
        <v>7</v>
      </c>
      <c r="B45" s="186" t="s">
        <v>681</v>
      </c>
      <c r="C45" s="183" t="s">
        <v>35</v>
      </c>
      <c r="D45" s="183">
        <f>'Объемы работ 2026'!G34</f>
        <v>24</v>
      </c>
      <c r="E45" s="185"/>
    </row>
    <row r="46" ht="15">
      <c r="A46" s="181">
        <v>8</v>
      </c>
      <c r="B46" s="186" t="s">
        <v>167</v>
      </c>
      <c r="C46" s="183" t="s">
        <v>39</v>
      </c>
      <c r="D46" s="183">
        <f>'Объемы работ 2026'!G35</f>
        <v>10</v>
      </c>
      <c r="E46" s="185"/>
    </row>
    <row r="47" ht="15">
      <c r="A47" s="181">
        <v>9</v>
      </c>
      <c r="B47" s="187" t="s">
        <v>124</v>
      </c>
      <c r="C47" s="183" t="s">
        <v>39</v>
      </c>
      <c r="D47" s="183">
        <f>'Объемы работ 2026'!G36</f>
        <v>4</v>
      </c>
      <c r="E47" s="185"/>
    </row>
    <row r="48" ht="15">
      <c r="A48" s="181">
        <v>10</v>
      </c>
      <c r="B48" s="187" t="s">
        <v>168</v>
      </c>
      <c r="C48" s="183" t="s">
        <v>39</v>
      </c>
      <c r="D48" s="183">
        <f>'Объемы работ 2026'!G37</f>
        <v>6</v>
      </c>
      <c r="E48" s="185"/>
    </row>
    <row r="49" ht="15">
      <c r="A49" s="181">
        <v>11</v>
      </c>
      <c r="B49" s="187" t="s">
        <v>169</v>
      </c>
      <c r="C49" s="183" t="s">
        <v>39</v>
      </c>
      <c r="D49" s="183">
        <f>'Объемы работ 2026'!G38</f>
        <v>2</v>
      </c>
      <c r="E49" s="185"/>
    </row>
    <row r="50" ht="15">
      <c r="A50" s="181">
        <v>12</v>
      </c>
      <c r="B50" s="186" t="s">
        <v>170</v>
      </c>
      <c r="C50" s="183" t="s">
        <v>39</v>
      </c>
      <c r="D50" s="183">
        <f>'Объемы работ 2026'!G39</f>
        <v>2</v>
      </c>
      <c r="E50" s="185"/>
    </row>
    <row r="51" ht="15">
      <c r="A51" s="181">
        <v>13</v>
      </c>
      <c r="B51" s="187" t="s">
        <v>171</v>
      </c>
      <c r="C51" s="183" t="s">
        <v>39</v>
      </c>
      <c r="D51" s="183">
        <f>'Объемы работ 2026'!G40</f>
        <v>10</v>
      </c>
      <c r="E51" s="185"/>
    </row>
    <row r="52" ht="15">
      <c r="A52" s="181">
        <v>14</v>
      </c>
      <c r="B52" s="187" t="s">
        <v>172</v>
      </c>
      <c r="C52" s="183" t="s">
        <v>39</v>
      </c>
      <c r="D52" s="183">
        <f>'Объемы работ 2026'!G41</f>
        <v>6</v>
      </c>
      <c r="E52" s="185"/>
    </row>
    <row r="53" ht="15">
      <c r="A53" s="181">
        <v>15</v>
      </c>
      <c r="B53" s="187" t="s">
        <v>173</v>
      </c>
      <c r="C53" s="183" t="s">
        <v>39</v>
      </c>
      <c r="D53" s="183">
        <f>'Объемы работ 2026'!G42</f>
        <v>8</v>
      </c>
      <c r="E53" s="185"/>
    </row>
    <row r="54" ht="15">
      <c r="A54" s="181">
        <v>16</v>
      </c>
      <c r="B54" s="182" t="s">
        <v>174</v>
      </c>
      <c r="C54" s="183" t="s">
        <v>39</v>
      </c>
      <c r="D54" s="183">
        <f>'Объемы работ 2026'!G43</f>
        <v>4</v>
      </c>
      <c r="E54" s="185"/>
    </row>
    <row r="55" ht="15">
      <c r="A55" s="181">
        <v>17</v>
      </c>
      <c r="B55" s="182" t="s">
        <v>175</v>
      </c>
      <c r="C55" s="183" t="s">
        <v>39</v>
      </c>
      <c r="D55" s="183">
        <f>'Объемы работ 2026'!G44</f>
        <v>6</v>
      </c>
      <c r="E55" s="185"/>
    </row>
    <row r="56" ht="15">
      <c r="A56" s="181">
        <v>18</v>
      </c>
      <c r="B56" s="187" t="s">
        <v>176</v>
      </c>
      <c r="C56" s="183" t="s">
        <v>39</v>
      </c>
      <c r="D56" s="183">
        <f>'Объемы работ 2026'!G45</f>
        <v>6</v>
      </c>
      <c r="E56" s="185"/>
    </row>
    <row r="57" ht="15.65" customHeight="1">
      <c r="A57" s="181">
        <v>19</v>
      </c>
      <c r="B57" s="182" t="s">
        <v>177</v>
      </c>
      <c r="C57" s="183" t="s">
        <v>39</v>
      </c>
      <c r="D57" s="183">
        <f>'Объемы работ 2026'!G46</f>
        <v>2</v>
      </c>
      <c r="E57" s="185"/>
    </row>
    <row r="58" ht="15">
      <c r="A58" s="181">
        <v>20</v>
      </c>
      <c r="B58" s="182" t="s">
        <v>178</v>
      </c>
      <c r="C58" s="183" t="s">
        <v>39</v>
      </c>
      <c r="D58" s="183">
        <f>'Объемы работ 2026'!G47</f>
        <v>8</v>
      </c>
      <c r="E58" s="185"/>
    </row>
    <row r="59" ht="15">
      <c r="A59" s="181">
        <v>21</v>
      </c>
      <c r="B59" s="182" t="s">
        <v>682</v>
      </c>
      <c r="C59" s="183" t="s">
        <v>39</v>
      </c>
      <c r="D59" s="183">
        <f>'Объемы работ 2026'!G48</f>
        <v>2</v>
      </c>
      <c r="E59" s="185"/>
    </row>
    <row r="60" ht="15">
      <c r="A60" s="181">
        <v>22</v>
      </c>
      <c r="B60" s="182" t="s">
        <v>180</v>
      </c>
      <c r="C60" s="183" t="s">
        <v>39</v>
      </c>
      <c r="D60" s="183">
        <f>'Объемы работ 2026'!G49</f>
        <v>2</v>
      </c>
      <c r="E60" s="185"/>
    </row>
    <row r="61" ht="15">
      <c r="A61" s="181">
        <v>23</v>
      </c>
      <c r="B61" s="186" t="s">
        <v>181</v>
      </c>
      <c r="C61" s="183" t="s">
        <v>39</v>
      </c>
      <c r="D61" s="183">
        <f>'Объемы работ 2026'!G50</f>
        <v>2</v>
      </c>
      <c r="E61" s="185"/>
    </row>
    <row r="62" ht="15">
      <c r="A62" s="181">
        <v>24</v>
      </c>
      <c r="B62" s="187" t="s">
        <v>183</v>
      </c>
      <c r="C62" s="183" t="s">
        <v>39</v>
      </c>
      <c r="D62" s="183">
        <f>'Объемы работ 2026'!G51</f>
        <v>2</v>
      </c>
      <c r="E62" s="185"/>
    </row>
    <row r="63" ht="15">
      <c r="A63" s="181">
        <v>25</v>
      </c>
      <c r="B63" s="186" t="s">
        <v>184</v>
      </c>
      <c r="C63" s="183" t="s">
        <v>39</v>
      </c>
      <c r="D63" s="183">
        <f>'Объемы работ 2026'!G52</f>
        <v>2</v>
      </c>
      <c r="E63" s="185"/>
    </row>
    <row r="64" ht="15">
      <c r="A64" s="181">
        <v>26</v>
      </c>
      <c r="B64" s="186" t="s">
        <v>185</v>
      </c>
      <c r="C64" s="183" t="s">
        <v>39</v>
      </c>
      <c r="D64" s="183">
        <f>'Объемы работ 2026'!G53</f>
        <v>2</v>
      </c>
      <c r="E64" s="185"/>
    </row>
    <row r="65">
      <c r="A65" s="181">
        <v>27</v>
      </c>
      <c r="B65" s="187" t="s">
        <v>187</v>
      </c>
      <c r="C65" s="183" t="s">
        <v>39</v>
      </c>
      <c r="D65" s="183">
        <f>'Объемы работ 2026'!G54</f>
        <v>2</v>
      </c>
      <c r="E65" s="185"/>
    </row>
    <row r="66">
      <c r="A66" s="181">
        <v>28</v>
      </c>
      <c r="B66" s="182" t="s">
        <v>189</v>
      </c>
      <c r="C66" s="183" t="s">
        <v>39</v>
      </c>
      <c r="D66" s="183">
        <f>'Объемы работ 2026'!G55</f>
        <v>2</v>
      </c>
      <c r="E66" s="185"/>
    </row>
    <row r="67">
      <c r="A67" s="181">
        <v>29</v>
      </c>
      <c r="B67" s="182" t="s">
        <v>683</v>
      </c>
      <c r="C67" s="183" t="s">
        <v>39</v>
      </c>
      <c r="D67" s="183">
        <f>'Объемы работ 2026'!G56</f>
        <v>1</v>
      </c>
      <c r="E67" s="185"/>
    </row>
    <row r="68">
      <c r="A68" s="181">
        <v>30</v>
      </c>
      <c r="B68" s="182" t="s">
        <v>193</v>
      </c>
      <c r="C68" s="183" t="s">
        <v>39</v>
      </c>
      <c r="D68" s="183">
        <f>'Объемы работ 2026'!G57</f>
        <v>2</v>
      </c>
      <c r="E68" s="185"/>
    </row>
    <row r="69">
      <c r="A69" s="181">
        <v>31</v>
      </c>
      <c r="B69" s="182" t="s">
        <v>195</v>
      </c>
      <c r="C69" s="183" t="s">
        <v>39</v>
      </c>
      <c r="D69" s="183">
        <f>'Объемы работ 2026'!G58</f>
        <v>1</v>
      </c>
      <c r="E69" s="185"/>
    </row>
    <row r="70">
      <c r="A70" s="181">
        <v>32</v>
      </c>
      <c r="B70" s="186" t="s">
        <v>684</v>
      </c>
      <c r="C70" s="183" t="s">
        <v>39</v>
      </c>
      <c r="D70" s="183">
        <f>'Объемы работ 2026'!G59</f>
        <v>2</v>
      </c>
      <c r="E70" s="185"/>
    </row>
    <row r="71">
      <c r="A71" s="181">
        <v>33</v>
      </c>
      <c r="B71" s="187" t="s">
        <v>685</v>
      </c>
      <c r="C71" s="183" t="s">
        <v>39</v>
      </c>
      <c r="D71" s="183">
        <f>'Объемы работ 2026'!G60</f>
        <v>1</v>
      </c>
      <c r="E71" s="185"/>
    </row>
    <row r="72">
      <c r="A72" s="181">
        <v>34</v>
      </c>
      <c r="B72" s="186" t="s">
        <v>199</v>
      </c>
      <c r="C72" s="183" t="s">
        <v>39</v>
      </c>
      <c r="D72" s="183">
        <f>'Объемы работ 2026'!G61</f>
        <v>1</v>
      </c>
      <c r="E72" s="185"/>
    </row>
    <row r="73">
      <c r="A73" s="181">
        <v>35</v>
      </c>
      <c r="B73" s="186" t="s">
        <v>200</v>
      </c>
      <c r="C73" s="183" t="s">
        <v>39</v>
      </c>
      <c r="D73" s="183">
        <f>'Объемы работ 2026'!G62</f>
        <v>1</v>
      </c>
      <c r="E73" s="185"/>
    </row>
    <row r="74">
      <c r="A74" s="181">
        <v>36</v>
      </c>
      <c r="B74" s="187" t="s">
        <v>202</v>
      </c>
      <c r="C74" s="183" t="s">
        <v>39</v>
      </c>
      <c r="D74" s="183">
        <f>'Объемы работ 2026'!G63</f>
        <v>1</v>
      </c>
      <c r="E74" s="185"/>
    </row>
    <row r="75">
      <c r="A75" s="181">
        <v>37</v>
      </c>
      <c r="B75" s="187" t="s">
        <v>203</v>
      </c>
      <c r="C75" s="183" t="s">
        <v>39</v>
      </c>
      <c r="D75" s="183">
        <f>'Объемы работ 2026'!G64</f>
        <v>1</v>
      </c>
      <c r="E75" s="185"/>
    </row>
    <row r="76">
      <c r="A76" s="181">
        <v>38</v>
      </c>
      <c r="B76" s="187" t="s">
        <v>204</v>
      </c>
      <c r="C76" s="183" t="s">
        <v>39</v>
      </c>
      <c r="D76" s="183">
        <f>'Объемы работ 2026'!G65</f>
        <v>1</v>
      </c>
      <c r="E76" s="185"/>
    </row>
    <row r="77">
      <c r="A77" s="181">
        <v>39</v>
      </c>
      <c r="B77" s="186" t="s">
        <v>133</v>
      </c>
      <c r="C77" s="183" t="s">
        <v>39</v>
      </c>
      <c r="D77" s="183">
        <f>'Объемы работ 2026'!G66</f>
        <v>2</v>
      </c>
      <c r="E77" s="185"/>
    </row>
    <row r="78">
      <c r="A78" s="181">
        <v>40</v>
      </c>
      <c r="B78" s="187" t="s">
        <v>205</v>
      </c>
      <c r="C78" s="183" t="s">
        <v>39</v>
      </c>
      <c r="D78" s="183">
        <f>'Объемы работ 2026'!G67</f>
        <v>2</v>
      </c>
      <c r="E78" s="185"/>
    </row>
    <row r="79">
      <c r="A79" s="181">
        <v>41</v>
      </c>
      <c r="B79" s="187" t="s">
        <v>206</v>
      </c>
      <c r="C79" s="183" t="s">
        <v>39</v>
      </c>
      <c r="D79" s="183">
        <f>'Объемы работ 2026'!G68</f>
        <v>4</v>
      </c>
      <c r="E79" s="185"/>
    </row>
    <row r="80">
      <c r="A80" s="181">
        <v>42</v>
      </c>
      <c r="B80" s="187" t="s">
        <v>207</v>
      </c>
      <c r="C80" s="183" t="s">
        <v>39</v>
      </c>
      <c r="D80" s="183">
        <f>'Объемы работ 2026'!G69</f>
        <v>2</v>
      </c>
      <c r="E80" s="185"/>
    </row>
    <row r="81">
      <c r="A81" s="181">
        <v>43</v>
      </c>
      <c r="B81" s="182" t="s">
        <v>208</v>
      </c>
      <c r="C81" s="183" t="s">
        <v>39</v>
      </c>
      <c r="D81" s="183">
        <f>'Объемы работ 2026'!G70</f>
        <v>2</v>
      </c>
      <c r="E81" s="185"/>
    </row>
    <row r="82">
      <c r="A82" s="181">
        <v>44</v>
      </c>
      <c r="B82" s="182" t="s">
        <v>209</v>
      </c>
      <c r="C82" s="183" t="s">
        <v>39</v>
      </c>
      <c r="D82" s="183">
        <f>'Объемы работ 2026'!G71</f>
        <v>4</v>
      </c>
      <c r="E82" s="185"/>
    </row>
    <row r="83">
      <c r="A83" s="181">
        <v>45</v>
      </c>
      <c r="B83" s="187" t="s">
        <v>210</v>
      </c>
      <c r="C83" s="183" t="s">
        <v>39</v>
      </c>
      <c r="D83" s="183">
        <f>'Объемы работ 2026'!G72</f>
        <v>10</v>
      </c>
      <c r="E83" s="185"/>
    </row>
    <row r="84">
      <c r="A84" s="181">
        <v>46</v>
      </c>
      <c r="B84" s="182" t="s">
        <v>136</v>
      </c>
      <c r="C84" s="183" t="s">
        <v>138</v>
      </c>
      <c r="D84" s="183">
        <f>'Объемы работ 2026'!G73</f>
        <v>7</v>
      </c>
      <c r="E84" s="185"/>
    </row>
    <row r="85">
      <c r="A85" s="181">
        <v>47</v>
      </c>
      <c r="B85" s="182" t="s">
        <v>139</v>
      </c>
      <c r="C85" s="183" t="s">
        <v>141</v>
      </c>
      <c r="D85" s="183">
        <f>'Объемы работ 2026'!G74</f>
        <v>3</v>
      </c>
      <c r="E85" s="185"/>
    </row>
    <row r="86">
      <c r="A86" s="181">
        <v>48</v>
      </c>
      <c r="B86" s="182" t="s">
        <v>142</v>
      </c>
      <c r="C86" s="183" t="s">
        <v>76</v>
      </c>
      <c r="D86" s="183">
        <f>'Объемы работ 2026'!G75</f>
        <v>60</v>
      </c>
      <c r="E86" s="185"/>
    </row>
    <row r="87">
      <c r="A87" s="181">
        <v>49</v>
      </c>
      <c r="B87" s="182" t="s">
        <v>143</v>
      </c>
      <c r="C87" s="183" t="s">
        <v>76</v>
      </c>
      <c r="D87" s="183">
        <f>'Объемы работ 2026'!G76</f>
        <v>60</v>
      </c>
      <c r="E87" s="185"/>
    </row>
    <row r="88">
      <c r="A88" s="181">
        <v>50</v>
      </c>
      <c r="B88" s="186" t="s">
        <v>144</v>
      </c>
      <c r="C88" s="183" t="s">
        <v>39</v>
      </c>
      <c r="D88" s="183">
        <f>'Объемы работ 2026'!G77</f>
        <v>250</v>
      </c>
      <c r="E88" s="185"/>
    </row>
    <row r="89">
      <c r="A89" s="181">
        <v>51</v>
      </c>
      <c r="B89" s="187" t="s">
        <v>146</v>
      </c>
      <c r="C89" s="183" t="s">
        <v>39</v>
      </c>
      <c r="D89" s="183">
        <f>'Объемы работ 2026'!G78</f>
        <v>110</v>
      </c>
      <c r="E89" s="185"/>
    </row>
    <row r="90">
      <c r="A90" s="181">
        <v>52</v>
      </c>
      <c r="B90" s="186" t="s">
        <v>148</v>
      </c>
      <c r="C90" s="183" t="s">
        <v>39</v>
      </c>
      <c r="D90" s="183">
        <f>'Объемы работ 2026'!G79</f>
        <v>28</v>
      </c>
      <c r="E90" s="185"/>
    </row>
    <row r="91">
      <c r="A91" s="181">
        <v>53</v>
      </c>
      <c r="B91" s="186" t="s">
        <v>213</v>
      </c>
      <c r="C91" s="183" t="s">
        <v>39</v>
      </c>
      <c r="D91" s="183">
        <f>'Объемы работ 2026'!G80</f>
        <v>18</v>
      </c>
      <c r="E91" s="185"/>
    </row>
    <row r="92">
      <c r="A92" s="181">
        <v>54</v>
      </c>
      <c r="B92" s="187" t="s">
        <v>214</v>
      </c>
      <c r="C92" s="183" t="s">
        <v>39</v>
      </c>
      <c r="D92" s="183">
        <f>'Объемы работ 2026'!G81</f>
        <v>12</v>
      </c>
      <c r="E92" s="185"/>
    </row>
    <row r="93">
      <c r="A93" s="181">
        <v>55</v>
      </c>
      <c r="B93" s="187" t="s">
        <v>215</v>
      </c>
      <c r="C93" s="183" t="s">
        <v>39</v>
      </c>
      <c r="D93" s="183">
        <f>'Объемы работ 2026'!G82</f>
        <v>8</v>
      </c>
      <c r="E93" s="185"/>
    </row>
    <row r="94">
      <c r="A94" s="181">
        <v>56</v>
      </c>
      <c r="B94" s="187" t="s">
        <v>216</v>
      </c>
      <c r="C94" s="183" t="s">
        <v>39</v>
      </c>
      <c r="D94" s="183">
        <f>'Объемы работ 2026'!G83</f>
        <v>18</v>
      </c>
      <c r="E94" s="185"/>
    </row>
    <row r="95">
      <c r="A95" s="181">
        <v>57</v>
      </c>
      <c r="B95" s="186" t="s">
        <v>217</v>
      </c>
      <c r="C95" s="183" t="s">
        <v>39</v>
      </c>
      <c r="D95" s="183">
        <f>'Объемы работ 2026'!G84</f>
        <v>17</v>
      </c>
      <c r="E95" s="185"/>
    </row>
    <row r="96">
      <c r="A96" s="181">
        <v>58</v>
      </c>
      <c r="B96" s="187" t="s">
        <v>218</v>
      </c>
      <c r="C96" s="183" t="s">
        <v>39</v>
      </c>
      <c r="D96" s="183">
        <f>'Объемы работ 2026'!G85</f>
        <v>8</v>
      </c>
      <c r="E96" s="185"/>
    </row>
    <row r="97">
      <c r="A97" s="181">
        <v>59</v>
      </c>
      <c r="B97" s="187" t="s">
        <v>219</v>
      </c>
      <c r="C97" s="183" t="s">
        <v>39</v>
      </c>
      <c r="D97" s="183">
        <f>'Объемы работ 2026'!G86</f>
        <v>5</v>
      </c>
      <c r="E97" s="185"/>
    </row>
    <row r="98">
      <c r="A98" s="181">
        <v>60</v>
      </c>
      <c r="B98" s="187" t="s">
        <v>220</v>
      </c>
      <c r="C98" s="183" t="s">
        <v>39</v>
      </c>
      <c r="D98" s="183">
        <f>'Объемы работ 2026'!G87</f>
        <v>12</v>
      </c>
      <c r="E98" s="185"/>
    </row>
    <row r="99">
      <c r="A99" s="181">
        <v>61</v>
      </c>
      <c r="B99" s="182" t="s">
        <v>154</v>
      </c>
      <c r="C99" s="183" t="s">
        <v>39</v>
      </c>
      <c r="D99" s="183">
        <f>'Объемы работ 2026'!G88</f>
        <v>2</v>
      </c>
      <c r="E99" s="185"/>
    </row>
    <row r="100">
      <c r="A100" s="181">
        <v>62</v>
      </c>
      <c r="B100" s="182" t="s">
        <v>155</v>
      </c>
      <c r="C100" s="183" t="s">
        <v>156</v>
      </c>
      <c r="D100" s="183">
        <f>'Объемы работ 2026'!G89</f>
        <v>18.5</v>
      </c>
      <c r="E100" s="185"/>
    </row>
    <row r="101">
      <c r="A101" s="181">
        <v>63</v>
      </c>
      <c r="B101" s="187" t="s">
        <v>157</v>
      </c>
      <c r="C101" s="183" t="s">
        <v>39</v>
      </c>
      <c r="D101" s="183">
        <f>'Объемы работ 2026'!G90</f>
        <v>1</v>
      </c>
      <c r="E101" s="191"/>
    </row>
    <row r="102">
      <c r="A102" s="192" t="s">
        <v>16</v>
      </c>
      <c r="B102" s="192"/>
      <c r="C102" s="192"/>
      <c r="D102" s="192"/>
      <c r="E102" s="192"/>
    </row>
    <row r="103">
      <c r="A103" s="181">
        <v>1</v>
      </c>
      <c r="B103" s="193" t="s">
        <v>221</v>
      </c>
      <c r="C103" s="183" t="s">
        <v>35</v>
      </c>
      <c r="D103" s="183">
        <f>'Объемы работ 2026'!G91</f>
        <v>1148</v>
      </c>
      <c r="E103" s="194" t="s">
        <v>679</v>
      </c>
    </row>
    <row r="104">
      <c r="A104" s="181">
        <v>2</v>
      </c>
      <c r="B104" s="193" t="s">
        <v>121</v>
      </c>
      <c r="C104" s="183" t="s">
        <v>35</v>
      </c>
      <c r="D104" s="183">
        <f>'Объемы работ 2026'!G92</f>
        <v>8</v>
      </c>
      <c r="E104" s="194"/>
    </row>
    <row r="105">
      <c r="A105" s="181">
        <v>3</v>
      </c>
      <c r="B105" s="186" t="s">
        <v>222</v>
      </c>
      <c r="C105" s="183" t="s">
        <v>39</v>
      </c>
      <c r="D105" s="183">
        <f>'Объемы работ 2026'!G93</f>
        <v>16</v>
      </c>
      <c r="E105" s="194"/>
    </row>
    <row r="106">
      <c r="A106" s="181">
        <v>4</v>
      </c>
      <c r="B106" s="186" t="s">
        <v>223</v>
      </c>
      <c r="C106" s="183" t="s">
        <v>39</v>
      </c>
      <c r="D106" s="183">
        <f>'Объемы работ 2026'!G94</f>
        <v>16</v>
      </c>
      <c r="E106" s="194"/>
    </row>
    <row r="107">
      <c r="A107" s="181">
        <v>5</v>
      </c>
      <c r="B107" s="186" t="s">
        <v>224</v>
      </c>
      <c r="C107" s="183" t="s">
        <v>39</v>
      </c>
      <c r="D107" s="183">
        <f>'Объемы работ 2026'!G95</f>
        <v>4</v>
      </c>
      <c r="E107" s="194"/>
    </row>
    <row r="108">
      <c r="A108" s="181">
        <v>6</v>
      </c>
      <c r="B108" s="187" t="s">
        <v>125</v>
      </c>
      <c r="C108" s="183" t="s">
        <v>39</v>
      </c>
      <c r="D108" s="183">
        <f>'Объемы работ 2026'!G96</f>
        <v>6</v>
      </c>
      <c r="E108" s="194"/>
    </row>
    <row r="109">
      <c r="A109" s="181">
        <v>7</v>
      </c>
      <c r="B109" s="187" t="s">
        <v>225</v>
      </c>
      <c r="C109" s="183" t="s">
        <v>39</v>
      </c>
      <c r="D109" s="183">
        <f>'Объемы работ 2026'!G97</f>
        <v>1</v>
      </c>
      <c r="E109" s="194"/>
    </row>
    <row r="110">
      <c r="A110" s="181">
        <v>8</v>
      </c>
      <c r="B110" s="187" t="s">
        <v>227</v>
      </c>
      <c r="C110" s="183" t="s">
        <v>39</v>
      </c>
      <c r="D110" s="183">
        <f>'Объемы работ 2026'!G98</f>
        <v>1</v>
      </c>
      <c r="E110" s="194"/>
    </row>
    <row r="111">
      <c r="A111" s="181">
        <v>9</v>
      </c>
      <c r="B111" s="186" t="s">
        <v>229</v>
      </c>
      <c r="C111" s="183" t="s">
        <v>39</v>
      </c>
      <c r="D111" s="183">
        <f>'Объемы работ 2026'!G99</f>
        <v>1</v>
      </c>
      <c r="E111" s="194"/>
    </row>
    <row r="112">
      <c r="A112" s="181">
        <v>10</v>
      </c>
      <c r="B112" s="187" t="s">
        <v>229</v>
      </c>
      <c r="C112" s="183" t="s">
        <v>39</v>
      </c>
      <c r="D112" s="183">
        <f>'Объемы работ 2026'!G100</f>
        <v>1</v>
      </c>
      <c r="E112" s="194"/>
    </row>
    <row r="113">
      <c r="A113" s="181">
        <v>11</v>
      </c>
      <c r="B113" s="193" t="s">
        <v>230</v>
      </c>
      <c r="C113" s="183" t="s">
        <v>39</v>
      </c>
      <c r="D113" s="183">
        <f>'Объемы работ 2026'!G101</f>
        <v>2</v>
      </c>
      <c r="E113" s="194"/>
    </row>
    <row r="114">
      <c r="A114" s="181">
        <v>12</v>
      </c>
      <c r="B114" s="187" t="s">
        <v>136</v>
      </c>
      <c r="C114" s="183" t="s">
        <v>138</v>
      </c>
      <c r="D114" s="183">
        <f>'Объемы работ 2026'!G102</f>
        <v>25</v>
      </c>
      <c r="E114" s="194"/>
    </row>
    <row r="115">
      <c r="A115" s="181">
        <v>13</v>
      </c>
      <c r="B115" s="193" t="s">
        <v>139</v>
      </c>
      <c r="C115" s="183" t="s">
        <v>141</v>
      </c>
      <c r="D115" s="183">
        <f>'Объемы работ 2026'!G103</f>
        <v>6</v>
      </c>
      <c r="E115" s="194"/>
    </row>
    <row r="116">
      <c r="A116" s="181">
        <v>14</v>
      </c>
      <c r="B116" s="193" t="s">
        <v>142</v>
      </c>
      <c r="C116" s="183" t="s">
        <v>76</v>
      </c>
      <c r="D116" s="183">
        <f>'Объемы работ 2026'!G104</f>
        <v>187</v>
      </c>
      <c r="E116" s="194"/>
    </row>
    <row r="117">
      <c r="A117" s="181">
        <v>15</v>
      </c>
      <c r="B117" s="186" t="s">
        <v>143</v>
      </c>
      <c r="C117" s="183" t="s">
        <v>76</v>
      </c>
      <c r="D117" s="183">
        <f>'Объемы работ 2026'!G105</f>
        <v>146</v>
      </c>
      <c r="E117" s="194"/>
    </row>
    <row r="118">
      <c r="A118" s="181">
        <v>16</v>
      </c>
      <c r="B118" s="186" t="s">
        <v>144</v>
      </c>
      <c r="C118" s="183" t="s">
        <v>39</v>
      </c>
      <c r="D118" s="183">
        <f>'Объемы работ 2026'!G106</f>
        <v>881</v>
      </c>
      <c r="E118" s="194"/>
    </row>
    <row r="119">
      <c r="A119" s="181">
        <v>17</v>
      </c>
      <c r="B119" s="186" t="s">
        <v>146</v>
      </c>
      <c r="C119" s="183" t="s">
        <v>39</v>
      </c>
      <c r="D119" s="183">
        <f>'Объемы работ 2026'!G107</f>
        <v>257</v>
      </c>
      <c r="E119" s="194"/>
    </row>
    <row r="120">
      <c r="A120" s="181">
        <v>18</v>
      </c>
      <c r="B120" s="187" t="s">
        <v>148</v>
      </c>
      <c r="C120" s="183" t="s">
        <v>39</v>
      </c>
      <c r="D120" s="183">
        <f>'Объемы работ 2026'!G108</f>
        <v>63</v>
      </c>
      <c r="E120" s="194"/>
    </row>
    <row r="121">
      <c r="A121" s="181">
        <v>19</v>
      </c>
      <c r="B121" s="187" t="s">
        <v>231</v>
      </c>
      <c r="C121" s="183" t="s">
        <v>39</v>
      </c>
      <c r="D121" s="183">
        <f>'Объемы работ 2026'!G109</f>
        <v>157</v>
      </c>
      <c r="E121" s="194"/>
    </row>
    <row r="122">
      <c r="A122" s="181">
        <v>20</v>
      </c>
      <c r="B122" s="187" t="s">
        <v>152</v>
      </c>
      <c r="C122" s="183" t="s">
        <v>39</v>
      </c>
      <c r="D122" s="183">
        <f>'Объемы работ 2026'!G110</f>
        <v>14</v>
      </c>
      <c r="E122" s="194"/>
    </row>
    <row r="123">
      <c r="A123" s="181">
        <v>21</v>
      </c>
      <c r="B123" s="186" t="s">
        <v>154</v>
      </c>
      <c r="C123" s="183" t="s">
        <v>39</v>
      </c>
      <c r="D123" s="183">
        <f>'Объемы работ 2026'!G111</f>
        <v>2</v>
      </c>
      <c r="E123" s="194"/>
    </row>
    <row r="124">
      <c r="A124" s="181">
        <v>22</v>
      </c>
      <c r="B124" s="187" t="s">
        <v>155</v>
      </c>
      <c r="C124" s="183" t="s">
        <v>156</v>
      </c>
      <c r="D124" s="183">
        <f>'Объемы работ 2026'!G112</f>
        <v>120</v>
      </c>
      <c r="E124" s="194"/>
    </row>
    <row r="125">
      <c r="A125" s="181">
        <v>23</v>
      </c>
      <c r="B125" s="187" t="s">
        <v>157</v>
      </c>
      <c r="C125" s="183" t="s">
        <v>39</v>
      </c>
      <c r="D125" s="183">
        <f>'Объемы работ 2026'!G113</f>
        <v>1</v>
      </c>
      <c r="E125" s="194"/>
    </row>
    <row r="126" ht="15.800000000000001" customHeight="1">
      <c r="A126" s="189" t="s">
        <v>13</v>
      </c>
      <c r="B126" s="189"/>
      <c r="C126" s="189"/>
      <c r="D126" s="189"/>
      <c r="E126" s="190"/>
    </row>
    <row r="127">
      <c r="A127" s="181">
        <v>1</v>
      </c>
      <c r="B127" s="182" t="s">
        <v>232</v>
      </c>
      <c r="C127" s="183" t="s">
        <v>35</v>
      </c>
      <c r="D127" s="183">
        <f>'Объемы работ 2026'!G114</f>
        <v>222</v>
      </c>
      <c r="E127" s="184" t="s">
        <v>686</v>
      </c>
    </row>
    <row r="128">
      <c r="A128" s="181">
        <v>2</v>
      </c>
      <c r="B128" s="182" t="s">
        <v>162</v>
      </c>
      <c r="C128" s="183" t="s">
        <v>35</v>
      </c>
      <c r="D128" s="183">
        <f>'Объемы работ 2026'!G115</f>
        <v>20</v>
      </c>
      <c r="E128" s="185"/>
    </row>
    <row r="129">
      <c r="A129" s="181">
        <v>3</v>
      </c>
      <c r="B129" s="182" t="s">
        <v>164</v>
      </c>
      <c r="C129" s="183" t="s">
        <v>35</v>
      </c>
      <c r="D129" s="183">
        <f>'Объемы работ 2026'!G116</f>
        <v>170</v>
      </c>
      <c r="E129" s="185"/>
    </row>
    <row r="130">
      <c r="A130" s="181">
        <v>4</v>
      </c>
      <c r="B130" s="182" t="s">
        <v>233</v>
      </c>
      <c r="C130" s="183" t="s">
        <v>39</v>
      </c>
      <c r="D130" s="183">
        <f>'Объемы работ 2026'!G117</f>
        <v>2</v>
      </c>
      <c r="E130" s="185"/>
    </row>
    <row r="131">
      <c r="A131" s="181">
        <v>5</v>
      </c>
      <c r="B131" s="182" t="s">
        <v>234</v>
      </c>
      <c r="C131" s="183" t="s">
        <v>39</v>
      </c>
      <c r="D131" s="183">
        <f>'Объемы работ 2026'!G118</f>
        <v>8</v>
      </c>
      <c r="E131" s="185"/>
    </row>
    <row r="132">
      <c r="A132" s="181">
        <v>6</v>
      </c>
      <c r="B132" s="182" t="s">
        <v>169</v>
      </c>
      <c r="C132" s="183" t="s">
        <v>39</v>
      </c>
      <c r="D132" s="183">
        <f>'Объемы работ 2026'!G119</f>
        <v>8</v>
      </c>
      <c r="E132" s="185"/>
    </row>
    <row r="133">
      <c r="A133" s="181">
        <v>7</v>
      </c>
      <c r="B133" s="182" t="s">
        <v>172</v>
      </c>
      <c r="C133" s="183" t="s">
        <v>39</v>
      </c>
      <c r="D133" s="183">
        <f>'Объемы работ 2026'!G120</f>
        <v>4</v>
      </c>
      <c r="E133" s="185"/>
    </row>
    <row r="134">
      <c r="A134" s="181">
        <v>8</v>
      </c>
      <c r="B134" s="182" t="s">
        <v>687</v>
      </c>
      <c r="C134" s="183" t="s">
        <v>39</v>
      </c>
      <c r="D134" s="183">
        <f>'Объемы работ 2026'!G121</f>
        <v>2</v>
      </c>
      <c r="E134" s="185"/>
    </row>
    <row r="135">
      <c r="A135" s="181">
        <v>9</v>
      </c>
      <c r="B135" s="182" t="s">
        <v>237</v>
      </c>
      <c r="C135" s="183" t="s">
        <v>39</v>
      </c>
      <c r="D135" s="183">
        <f>'Объемы работ 2026'!G122</f>
        <v>2</v>
      </c>
      <c r="E135" s="185"/>
    </row>
    <row r="136">
      <c r="A136" s="181">
        <v>10</v>
      </c>
      <c r="B136" s="182" t="s">
        <v>238</v>
      </c>
      <c r="C136" s="183" t="s">
        <v>39</v>
      </c>
      <c r="D136" s="183">
        <f>'Объемы работ 2026'!G123</f>
        <v>2</v>
      </c>
      <c r="E136" s="185"/>
    </row>
    <row r="137">
      <c r="A137" s="181">
        <v>11</v>
      </c>
      <c r="B137" s="182" t="s">
        <v>136</v>
      </c>
      <c r="C137" s="183" t="s">
        <v>138</v>
      </c>
      <c r="D137" s="183">
        <f>'Объемы работ 2026'!G124</f>
        <v>5</v>
      </c>
      <c r="E137" s="185"/>
    </row>
    <row r="138">
      <c r="A138" s="181">
        <v>12</v>
      </c>
      <c r="B138" s="182" t="s">
        <v>139</v>
      </c>
      <c r="C138" s="183" t="s">
        <v>141</v>
      </c>
      <c r="D138" s="183">
        <f>'Объемы работ 2026'!G125</f>
        <v>3</v>
      </c>
      <c r="E138" s="185"/>
    </row>
    <row r="139">
      <c r="A139" s="181">
        <v>13</v>
      </c>
      <c r="B139" s="182" t="s">
        <v>142</v>
      </c>
      <c r="C139" s="183" t="s">
        <v>76</v>
      </c>
      <c r="D139" s="183">
        <f>'Объемы работ 2026'!G126</f>
        <v>40</v>
      </c>
      <c r="E139" s="185"/>
    </row>
    <row r="140">
      <c r="A140" s="181">
        <v>14</v>
      </c>
      <c r="B140" s="182" t="s">
        <v>143</v>
      </c>
      <c r="C140" s="183" t="s">
        <v>76</v>
      </c>
      <c r="D140" s="183">
        <f>'Объемы работ 2026'!G127</f>
        <v>60</v>
      </c>
      <c r="E140" s="185"/>
    </row>
    <row r="141">
      <c r="A141" s="181">
        <v>15</v>
      </c>
      <c r="B141" s="182" t="s">
        <v>144</v>
      </c>
      <c r="C141" s="183" t="s">
        <v>39</v>
      </c>
      <c r="D141" s="183">
        <f>'Объемы работ 2026'!G128</f>
        <v>150</v>
      </c>
      <c r="E141" s="185"/>
    </row>
    <row r="142">
      <c r="A142" s="181">
        <v>16</v>
      </c>
      <c r="B142" s="186" t="s">
        <v>146</v>
      </c>
      <c r="C142" s="183" t="s">
        <v>39</v>
      </c>
      <c r="D142" s="183">
        <f>'Объемы работ 2026'!G129</f>
        <v>50</v>
      </c>
      <c r="E142" s="185"/>
    </row>
    <row r="143">
      <c r="A143" s="181">
        <v>17</v>
      </c>
      <c r="B143" s="182" t="s">
        <v>148</v>
      </c>
      <c r="C143" s="183" t="s">
        <v>39</v>
      </c>
      <c r="D143" s="183">
        <f>'Объемы работ 2026'!G130</f>
        <v>12</v>
      </c>
      <c r="E143" s="185"/>
    </row>
    <row r="144">
      <c r="A144" s="181">
        <v>18</v>
      </c>
      <c r="B144" s="182" t="s">
        <v>239</v>
      </c>
      <c r="C144" s="183" t="s">
        <v>39</v>
      </c>
      <c r="D144" s="183">
        <f>'Объемы работ 2026'!G131</f>
        <v>28</v>
      </c>
      <c r="E144" s="185"/>
    </row>
    <row r="145">
      <c r="A145" s="181">
        <v>19</v>
      </c>
      <c r="B145" s="182" t="s">
        <v>215</v>
      </c>
      <c r="C145" s="183" t="s">
        <v>39</v>
      </c>
      <c r="D145" s="183">
        <f>'Объемы работ 2026'!G132</f>
        <v>14</v>
      </c>
      <c r="E145" s="185"/>
    </row>
    <row r="146">
      <c r="A146" s="181">
        <v>20</v>
      </c>
      <c r="B146" s="182" t="s">
        <v>217</v>
      </c>
      <c r="C146" s="183" t="s">
        <v>39</v>
      </c>
      <c r="D146" s="183">
        <f>'Объемы работ 2026'!G133</f>
        <v>22</v>
      </c>
      <c r="E146" s="185"/>
    </row>
    <row r="147">
      <c r="A147" s="181">
        <v>21</v>
      </c>
      <c r="B147" s="182" t="s">
        <v>157</v>
      </c>
      <c r="C147" s="183" t="s">
        <v>39</v>
      </c>
      <c r="D147" s="183">
        <f>'Объемы работ 2026'!G134</f>
        <v>1</v>
      </c>
      <c r="E147" s="185"/>
    </row>
    <row r="148" ht="15.800000000000001" customHeight="1">
      <c r="A148" s="189" t="s">
        <v>14</v>
      </c>
      <c r="B148" s="189"/>
      <c r="C148" s="189"/>
      <c r="D148" s="189"/>
      <c r="E148" s="190"/>
    </row>
    <row r="149">
      <c r="A149" s="181">
        <v>1</v>
      </c>
      <c r="B149" s="182" t="s">
        <v>162</v>
      </c>
      <c r="C149" s="183" t="s">
        <v>35</v>
      </c>
      <c r="D149" s="183">
        <f>'Объемы работ 2026'!G135</f>
        <v>228</v>
      </c>
      <c r="E149" s="194" t="s">
        <v>688</v>
      </c>
    </row>
    <row r="150">
      <c r="A150" s="181">
        <v>2</v>
      </c>
      <c r="B150" s="182" t="s">
        <v>164</v>
      </c>
      <c r="C150" s="183" t="s">
        <v>35</v>
      </c>
      <c r="D150" s="183">
        <f>'Объемы работ 2026'!G136</f>
        <v>12</v>
      </c>
      <c r="E150" s="194"/>
    </row>
    <row r="151">
      <c r="A151" s="181">
        <v>3</v>
      </c>
      <c r="B151" s="182" t="s">
        <v>169</v>
      </c>
      <c r="C151" s="183" t="s">
        <v>39</v>
      </c>
      <c r="D151" s="183">
        <f>'Объемы работ 2026'!G137</f>
        <v>6</v>
      </c>
      <c r="E151" s="194"/>
    </row>
    <row r="152">
      <c r="A152" s="181">
        <v>4</v>
      </c>
      <c r="B152" s="182" t="s">
        <v>172</v>
      </c>
      <c r="C152" s="183" t="s">
        <v>39</v>
      </c>
      <c r="D152" s="183">
        <f>'Объемы работ 2026'!G138</f>
        <v>10</v>
      </c>
      <c r="E152" s="194"/>
    </row>
    <row r="153">
      <c r="A153" s="181">
        <v>5</v>
      </c>
      <c r="B153" s="182" t="s">
        <v>687</v>
      </c>
      <c r="C153" s="183" t="s">
        <v>39</v>
      </c>
      <c r="D153" s="183">
        <f>'Объемы работ 2026'!G139</f>
        <v>2</v>
      </c>
      <c r="E153" s="194"/>
    </row>
    <row r="154">
      <c r="A154" s="181">
        <v>6</v>
      </c>
      <c r="B154" s="182" t="s">
        <v>181</v>
      </c>
      <c r="C154" s="183" t="s">
        <v>39</v>
      </c>
      <c r="D154" s="183">
        <f>'Объемы работ 2026'!G140</f>
        <v>2</v>
      </c>
      <c r="E154" s="194"/>
    </row>
    <row r="155">
      <c r="A155" s="181">
        <v>7</v>
      </c>
      <c r="B155" s="182" t="s">
        <v>205</v>
      </c>
      <c r="C155" s="183" t="s">
        <v>39</v>
      </c>
      <c r="D155" s="183">
        <f>'Объемы работ 2026'!G141</f>
        <v>2</v>
      </c>
      <c r="E155" s="194"/>
    </row>
    <row r="156">
      <c r="A156" s="181">
        <v>8</v>
      </c>
      <c r="B156" s="182" t="s">
        <v>136</v>
      </c>
      <c r="C156" s="183" t="s">
        <v>138</v>
      </c>
      <c r="D156" s="183">
        <f>'Объемы работ 2026'!G142</f>
        <v>4</v>
      </c>
      <c r="E156" s="194"/>
    </row>
    <row r="157">
      <c r="A157" s="181">
        <v>9</v>
      </c>
      <c r="B157" s="186" t="s">
        <v>139</v>
      </c>
      <c r="C157" s="183" t="s">
        <v>141</v>
      </c>
      <c r="D157" s="183">
        <f>'Объемы работ 2026'!G143</f>
        <v>3</v>
      </c>
      <c r="E157" s="194"/>
    </row>
    <row r="158">
      <c r="A158" s="181">
        <v>10</v>
      </c>
      <c r="B158" s="186" t="s">
        <v>142</v>
      </c>
      <c r="C158" s="183" t="s">
        <v>76</v>
      </c>
      <c r="D158" s="183">
        <f>'Объемы работ 2026'!G144</f>
        <v>45</v>
      </c>
      <c r="E158" s="194"/>
    </row>
    <row r="159">
      <c r="A159" s="181">
        <v>11</v>
      </c>
      <c r="B159" s="187" t="s">
        <v>143</v>
      </c>
      <c r="C159" s="183" t="s">
        <v>76</v>
      </c>
      <c r="D159" s="183">
        <f>'Объемы работ 2026'!G145</f>
        <v>60</v>
      </c>
      <c r="E159" s="194"/>
    </row>
    <row r="160">
      <c r="A160" s="181">
        <v>12</v>
      </c>
      <c r="B160" s="182" t="s">
        <v>144</v>
      </c>
      <c r="C160" s="183" t="s">
        <v>39</v>
      </c>
      <c r="D160" s="183">
        <f>'Объемы работ 2026'!G146</f>
        <v>200</v>
      </c>
      <c r="E160" s="194"/>
    </row>
    <row r="161">
      <c r="A161" s="181">
        <v>13</v>
      </c>
      <c r="B161" s="182" t="s">
        <v>146</v>
      </c>
      <c r="C161" s="183" t="s">
        <v>39</v>
      </c>
      <c r="D161" s="183">
        <f>'Объемы работ 2026'!G147</f>
        <v>100</v>
      </c>
      <c r="E161" s="194"/>
    </row>
    <row r="162">
      <c r="A162" s="181">
        <v>14</v>
      </c>
      <c r="B162" s="182" t="s">
        <v>148</v>
      </c>
      <c r="C162" s="183" t="s">
        <v>39</v>
      </c>
      <c r="D162" s="183">
        <f>'Объемы работ 2026'!G148</f>
        <v>28</v>
      </c>
      <c r="E162" s="194"/>
    </row>
    <row r="163">
      <c r="A163" s="181">
        <v>15</v>
      </c>
      <c r="B163" s="182" t="s">
        <v>215</v>
      </c>
      <c r="C163" s="183" t="s">
        <v>39</v>
      </c>
      <c r="D163" s="183">
        <f>'Объемы работ 2026'!G149</f>
        <v>28</v>
      </c>
      <c r="E163" s="194"/>
    </row>
    <row r="164">
      <c r="A164" s="181">
        <v>16</v>
      </c>
      <c r="B164" s="182" t="s">
        <v>217</v>
      </c>
      <c r="C164" s="183" t="s">
        <v>39</v>
      </c>
      <c r="D164" s="183">
        <f>'Объемы работ 2026'!G150</f>
        <v>12</v>
      </c>
      <c r="E164" s="194"/>
    </row>
    <row r="165">
      <c r="A165" s="181">
        <v>17</v>
      </c>
      <c r="B165" s="182" t="s">
        <v>155</v>
      </c>
      <c r="C165" s="183" t="s">
        <v>156</v>
      </c>
      <c r="D165" s="183">
        <f>'Объемы работ 2026'!G151</f>
        <v>9</v>
      </c>
      <c r="E165" s="194"/>
    </row>
    <row r="166">
      <c r="A166" s="181">
        <v>18</v>
      </c>
      <c r="B166" s="187" t="s">
        <v>157</v>
      </c>
      <c r="C166" s="183" t="s">
        <v>39</v>
      </c>
      <c r="D166" s="183">
        <f>'Объемы работ 2026'!G152</f>
        <v>1</v>
      </c>
      <c r="E166" s="194"/>
    </row>
    <row r="170" ht="15.800000000000001" customHeight="1">
      <c r="A170" s="195" t="s">
        <v>689</v>
      </c>
      <c r="B170" s="195"/>
      <c r="E170" s="175" t="s">
        <v>690</v>
      </c>
    </row>
    <row r="172">
      <c r="A172" s="195" t="s">
        <v>691</v>
      </c>
      <c r="B172" s="195"/>
      <c r="E172" s="175" t="s">
        <v>692</v>
      </c>
    </row>
  </sheetData>
  <autoFilter ref="B10:D166"/>
  <mergeCells count="13">
    <mergeCell ref="A7:E7"/>
    <mergeCell ref="A11:E11"/>
    <mergeCell ref="E12:E37"/>
    <mergeCell ref="A38:E38"/>
    <mergeCell ref="E39:E101"/>
    <mergeCell ref="A102:E102"/>
    <mergeCell ref="E103:E125"/>
    <mergeCell ref="A126:E126"/>
    <mergeCell ref="E127:E147"/>
    <mergeCell ref="A148:E148"/>
    <mergeCell ref="E149:E166"/>
    <mergeCell ref="A170:B170"/>
    <mergeCell ref="A172:B172"/>
  </mergeCells>
  <printOptions headings="0" gridLines="1"/>
  <pageMargins left="0.39370078740157477" right="0.39370078740157477" top="0.78740157480314954" bottom="0.39370078740157477" header="0.51181102362204722" footer="0.51181102362204722"/>
  <pageSetup paperSize="9" scale="81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5" tint="0.79998168889431442"/>
    <outlinePr applyStyles="0" summaryBelow="1" summaryRight="1" showOutlineSymbols="1"/>
    <pageSetUpPr autoPageBreaks="1" fitToPage="0"/>
  </sheetPr>
  <sheetViews>
    <sheetView zoomScale="85" workbookViewId="0">
      <selection activeCell="C83" activeCellId="0" sqref="C83:C84"/>
    </sheetView>
  </sheetViews>
  <sheetFormatPr defaultRowHeight="12.75"/>
  <cols>
    <col bestFit="1" customWidth="1" min="1" max="1" style="104" width="7.75"/>
    <col customWidth="1" min="2" max="2" style="104" width="79.625"/>
    <col customWidth="1" min="3" max="3" style="105" width="14"/>
    <col customWidth="1" min="4" max="4" style="105" width="18.375"/>
    <col customWidth="1" min="5" max="5" style="105" width="17"/>
    <col customWidth="1" min="6" max="6" style="105" width="17.75"/>
    <col customWidth="1" min="7" max="7" style="105" width="26.25"/>
    <col customWidth="1" min="8" max="8" style="105" width="19"/>
    <col bestFit="1" customWidth="1" min="9" max="9" style="105" width="23.125"/>
    <col customWidth="1" min="10" max="13" width="16.375"/>
    <col bestFit="1" min="14" max="15" width="10.125"/>
  </cols>
  <sheetData>
    <row r="1" s="106" customFormat="1" ht="38.25">
      <c r="A1" s="196" t="s">
        <v>240</v>
      </c>
      <c r="B1" s="196" t="s">
        <v>113</v>
      </c>
      <c r="C1" s="196" t="s">
        <v>24</v>
      </c>
      <c r="D1" s="196" t="s">
        <v>693</v>
      </c>
      <c r="E1" s="196" t="s">
        <v>242</v>
      </c>
      <c r="F1" s="196" t="s">
        <v>116</v>
      </c>
      <c r="G1" s="196" t="s">
        <v>694</v>
      </c>
      <c r="H1" s="196" t="s">
        <v>695</v>
      </c>
      <c r="I1" s="196" t="s">
        <v>696</v>
      </c>
      <c r="J1" s="197" t="s">
        <v>697</v>
      </c>
      <c r="K1" s="197" t="s">
        <v>698</v>
      </c>
      <c r="L1" s="197" t="s">
        <v>699</v>
      </c>
      <c r="M1" s="197" t="s">
        <v>700</v>
      </c>
    </row>
    <row r="2" ht="12.9">
      <c r="A2" s="198">
        <v>1</v>
      </c>
      <c r="B2" s="77" t="s">
        <v>221</v>
      </c>
      <c r="C2" s="199" t="s">
        <v>35</v>
      </c>
      <c r="D2" s="200">
        <f t="shared" ref="D2:D33" si="35">M2</f>
        <v>4969.0334819999998</v>
      </c>
      <c r="E2" s="200">
        <f>SUMIF('Объемы работ 2026'!$C$2:$C$152,B2,'Объемы работ 2026'!$G$2:$G$152)</f>
        <v>1148</v>
      </c>
      <c r="F2" s="201">
        <f t="shared" ref="F2:F65" si="36">D2*E2</f>
        <v>5704450.4373359997</v>
      </c>
      <c r="G2" s="200" t="s">
        <v>109</v>
      </c>
      <c r="H2" s="200">
        <f t="shared" ref="H2:H11" si="37">I2/1.2</f>
        <v>4302.5</v>
      </c>
      <c r="I2" s="200">
        <v>5163</v>
      </c>
      <c r="J2" s="202"/>
      <c r="K2" s="202">
        <v>4503</v>
      </c>
      <c r="L2" s="202"/>
      <c r="M2" s="202">
        <f>K2*1.058*1.043</f>
        <v>4969.0334819999998</v>
      </c>
    </row>
    <row r="3" ht="12.9">
      <c r="A3" s="198">
        <v>2</v>
      </c>
      <c r="B3" s="77" t="s">
        <v>160</v>
      </c>
      <c r="C3" s="199" t="s">
        <v>35</v>
      </c>
      <c r="D3" s="200">
        <f t="shared" si="35"/>
        <v>3120.5361688956</v>
      </c>
      <c r="E3" s="200">
        <f>SUMIF('Объемы работ 2026'!$C$2:$C$152,B3,'Объемы работ 2026'!$G$2:$G$152)</f>
        <v>110</v>
      </c>
      <c r="F3" s="201">
        <f t="shared" si="36"/>
        <v>343258.97857851599</v>
      </c>
      <c r="G3" s="200" t="s">
        <v>109</v>
      </c>
      <c r="H3" s="200">
        <f t="shared" si="37"/>
        <v>3111.666666666667</v>
      </c>
      <c r="I3" s="200">
        <v>3734</v>
      </c>
      <c r="J3" s="202">
        <v>2630.8299999999999</v>
      </c>
      <c r="K3" s="202"/>
      <c r="L3" s="202"/>
      <c r="M3" s="202">
        <f t="shared" ref="M3:M5" si="38">J3*1.08*1.053*1.043</f>
        <v>3120.5361688956</v>
      </c>
    </row>
    <row r="4" ht="12.9">
      <c r="A4" s="198">
        <v>3</v>
      </c>
      <c r="B4" s="77" t="s">
        <v>119</v>
      </c>
      <c r="C4" s="199" t="s">
        <v>35</v>
      </c>
      <c r="D4" s="200">
        <f t="shared" si="35"/>
        <v>3120.5361688956</v>
      </c>
      <c r="E4" s="200">
        <f>SUMIF('Объемы работ 2026'!$C$2:$C$152,B4,'Объемы работ 2026'!$G$2:$G$152)</f>
        <v>96</v>
      </c>
      <c r="F4" s="201">
        <f t="shared" si="36"/>
        <v>299571.4722139776</v>
      </c>
      <c r="G4" s="200" t="s">
        <v>109</v>
      </c>
      <c r="H4" s="200">
        <f t="shared" si="37"/>
        <v>2765</v>
      </c>
      <c r="I4" s="200">
        <v>3318</v>
      </c>
      <c r="J4" s="202">
        <v>2630.8299999999999</v>
      </c>
      <c r="K4" s="202"/>
      <c r="L4" s="202"/>
      <c r="M4" s="202">
        <f t="shared" si="38"/>
        <v>3120.5361688956</v>
      </c>
    </row>
    <row r="5" ht="12.9">
      <c r="A5" s="198">
        <v>4</v>
      </c>
      <c r="B5" s="77" t="s">
        <v>121</v>
      </c>
      <c r="C5" s="199" t="s">
        <v>35</v>
      </c>
      <c r="D5" s="200">
        <f t="shared" si="35"/>
        <v>2470.1392989000001</v>
      </c>
      <c r="E5" s="200">
        <f>SUMIF('Объемы работ 2026'!$C$2:$C$152,B5,'Объемы работ 2026'!$G$2:$G$152)</f>
        <v>146</v>
      </c>
      <c r="F5" s="201">
        <f t="shared" si="36"/>
        <v>360640.33763940004</v>
      </c>
      <c r="G5" s="200" t="s">
        <v>109</v>
      </c>
      <c r="H5" s="200">
        <f t="shared" si="37"/>
        <v>2368.3333333333335</v>
      </c>
      <c r="I5" s="200">
        <v>2842</v>
      </c>
      <c r="J5" s="202">
        <v>2082.5</v>
      </c>
      <c r="K5" s="202"/>
      <c r="L5" s="202"/>
      <c r="M5" s="202">
        <f t="shared" si="38"/>
        <v>2470.1392989000001</v>
      </c>
    </row>
    <row r="6" ht="12.9">
      <c r="A6" s="198">
        <v>5</v>
      </c>
      <c r="B6" s="77" t="s">
        <v>122</v>
      </c>
      <c r="C6" s="199" t="s">
        <v>35</v>
      </c>
      <c r="D6" s="200">
        <f t="shared" si="35"/>
        <v>2574.4515020000003</v>
      </c>
      <c r="E6" s="200">
        <f>SUMIF('Объемы работ 2026'!$C$2:$C$152,B6,'Объемы работ 2026'!$G$2:$G$152)</f>
        <v>56</v>
      </c>
      <c r="F6" s="201">
        <f t="shared" si="36"/>
        <v>144169.28411200002</v>
      </c>
      <c r="G6" s="200" t="s">
        <v>109</v>
      </c>
      <c r="H6" s="200">
        <f t="shared" si="37"/>
        <v>1870.8333333333335</v>
      </c>
      <c r="I6" s="200">
        <v>2245</v>
      </c>
      <c r="J6" s="202"/>
      <c r="K6" s="202">
        <v>2333</v>
      </c>
      <c r="L6" s="202"/>
      <c r="M6" s="202">
        <f t="shared" ref="M6:M11" si="39">K6*1.058*1.043</f>
        <v>2574.4515020000003</v>
      </c>
    </row>
    <row r="7" ht="12.9">
      <c r="A7" s="198">
        <v>6</v>
      </c>
      <c r="B7" s="77" t="s">
        <v>232</v>
      </c>
      <c r="C7" s="199" t="s">
        <v>35</v>
      </c>
      <c r="D7" s="200">
        <f t="shared" si="35"/>
        <v>2247.817278</v>
      </c>
      <c r="E7" s="200">
        <f>SUMIF('Объемы работ 2026'!$C$2:$C$152,B7,'Объемы работ 2026'!$G$2:$G$152)</f>
        <v>222</v>
      </c>
      <c r="F7" s="201">
        <f t="shared" si="36"/>
        <v>499015.43571599998</v>
      </c>
      <c r="G7" s="200" t="s">
        <v>109</v>
      </c>
      <c r="H7" s="200">
        <f t="shared" si="37"/>
        <v>1393.3333333333335</v>
      </c>
      <c r="I7" s="200">
        <v>1672</v>
      </c>
      <c r="J7" s="202"/>
      <c r="K7" s="202">
        <v>2037</v>
      </c>
      <c r="L7" s="202"/>
      <c r="M7" s="202">
        <f t="shared" si="39"/>
        <v>2247.817278</v>
      </c>
    </row>
    <row r="8" ht="12.9">
      <c r="A8" s="198">
        <v>7</v>
      </c>
      <c r="B8" s="77" t="s">
        <v>161</v>
      </c>
      <c r="C8" s="199" t="s">
        <v>35</v>
      </c>
      <c r="D8" s="200">
        <f t="shared" si="35"/>
        <v>2044.7743820000001</v>
      </c>
      <c r="E8" s="200">
        <f>SUMIF('Объемы работ 2026'!$C$2:$C$152,B8,'Объемы работ 2026'!$G$2:$G$152)</f>
        <v>122</v>
      </c>
      <c r="F8" s="201">
        <f t="shared" si="36"/>
        <v>249462.47460400002</v>
      </c>
      <c r="G8" s="200" t="s">
        <v>109</v>
      </c>
      <c r="H8" s="200">
        <f t="shared" si="37"/>
        <v>1564.1666666666667</v>
      </c>
      <c r="I8" s="203">
        <v>1877</v>
      </c>
      <c r="J8" s="202"/>
      <c r="K8" s="202">
        <v>1853</v>
      </c>
      <c r="L8" s="202"/>
      <c r="M8" s="202">
        <f t="shared" si="39"/>
        <v>2044.7743820000001</v>
      </c>
    </row>
    <row r="9" ht="12.9">
      <c r="A9" s="198">
        <v>8</v>
      </c>
      <c r="B9" s="77" t="s">
        <v>162</v>
      </c>
      <c r="C9" s="199" t="s">
        <v>35</v>
      </c>
      <c r="D9" s="200">
        <f t="shared" si="35"/>
        <v>2044.7743820000001</v>
      </c>
      <c r="E9" s="200">
        <f>SUMIF('Объемы работ 2026'!$C$2:$C$152,B9,'Объемы работ 2026'!$G$2:$G$152)</f>
        <v>358</v>
      </c>
      <c r="F9" s="201">
        <f t="shared" si="36"/>
        <v>732029.22875600006</v>
      </c>
      <c r="G9" s="200" t="s">
        <v>109</v>
      </c>
      <c r="H9" s="200">
        <f t="shared" si="37"/>
        <v>1235</v>
      </c>
      <c r="I9" s="200">
        <v>1482</v>
      </c>
      <c r="J9" s="202"/>
      <c r="K9" s="202">
        <v>1853</v>
      </c>
      <c r="L9" s="202"/>
      <c r="M9" s="202">
        <f t="shared" si="39"/>
        <v>2044.7743820000001</v>
      </c>
    </row>
    <row r="10" ht="12.9">
      <c r="A10" s="198">
        <v>9</v>
      </c>
      <c r="B10" s="77" t="s">
        <v>163</v>
      </c>
      <c r="C10" s="199" t="s">
        <v>39</v>
      </c>
      <c r="D10" s="200">
        <f t="shared" si="35"/>
        <v>1939.942452</v>
      </c>
      <c r="E10" s="200">
        <f>SUMIF('Объемы работ 2026'!$C$2:$C$152,B10,'Объемы работ 2026'!$G$2:$G$152)</f>
        <v>12</v>
      </c>
      <c r="F10" s="201">
        <f t="shared" si="36"/>
        <v>23279.309423999999</v>
      </c>
      <c r="G10" s="200" t="s">
        <v>109</v>
      </c>
      <c r="H10" s="200">
        <f t="shared" si="37"/>
        <v>1226.6666666666667</v>
      </c>
      <c r="I10" s="200">
        <v>1472</v>
      </c>
      <c r="J10" s="202"/>
      <c r="K10" s="202">
        <v>1758</v>
      </c>
      <c r="L10" s="202"/>
      <c r="M10" s="202">
        <f t="shared" si="39"/>
        <v>1939.942452</v>
      </c>
    </row>
    <row r="11" ht="12.9">
      <c r="A11" s="198">
        <v>10</v>
      </c>
      <c r="B11" s="77" t="s">
        <v>164</v>
      </c>
      <c r="C11" s="199" t="s">
        <v>39</v>
      </c>
      <c r="D11" s="200">
        <f t="shared" si="35"/>
        <v>1826.2825699999999</v>
      </c>
      <c r="E11" s="200">
        <f>SUMIF('Объемы работ 2026'!$C$2:$C$152,B11,'Объемы работ 2026'!$G$2:$G$152)</f>
        <v>344</v>
      </c>
      <c r="F11" s="201">
        <f t="shared" si="36"/>
        <v>628241.20407999994</v>
      </c>
      <c r="G11" s="200" t="s">
        <v>109</v>
      </c>
      <c r="H11" s="200">
        <f t="shared" si="37"/>
        <v>1100.8333333333335</v>
      </c>
      <c r="I11" s="200">
        <v>1321</v>
      </c>
      <c r="J11" s="202"/>
      <c r="K11" s="202">
        <v>1655</v>
      </c>
      <c r="L11" s="202"/>
      <c r="M11" s="202">
        <f t="shared" si="39"/>
        <v>1826.2825699999999</v>
      </c>
    </row>
    <row r="12" ht="12.9">
      <c r="A12" s="198">
        <v>11</v>
      </c>
      <c r="B12" s="77" t="s">
        <v>680</v>
      </c>
      <c r="C12" s="199" t="s">
        <v>35</v>
      </c>
      <c r="D12" s="200">
        <f t="shared" si="35"/>
        <v>143.934</v>
      </c>
      <c r="E12" s="200">
        <f>SUMIF('Объемы работ 2026'!$C$2:$C$152,B12,'Объемы работ 2026'!$G$2:$G$152)</f>
        <v>10</v>
      </c>
      <c r="F12" s="201">
        <f t="shared" si="36"/>
        <v>1439.3399999999999</v>
      </c>
      <c r="G12" s="200" t="s">
        <v>109</v>
      </c>
      <c r="H12" s="200">
        <v>425</v>
      </c>
      <c r="I12" s="200"/>
      <c r="J12" s="202"/>
      <c r="K12" s="202"/>
      <c r="L12" s="202">
        <f>276/2</f>
        <v>138</v>
      </c>
      <c r="M12" s="202">
        <f t="shared" ref="M12:M13" si="40">L12*1.043</f>
        <v>143.934</v>
      </c>
    </row>
    <row r="13" ht="12.9">
      <c r="A13" s="198">
        <v>12</v>
      </c>
      <c r="B13" s="77" t="s">
        <v>681</v>
      </c>
      <c r="C13" s="199" t="s">
        <v>35</v>
      </c>
      <c r="D13" s="200">
        <f t="shared" si="35"/>
        <v>84.48299999999999</v>
      </c>
      <c r="E13" s="200">
        <f>SUMIF('Объемы работ 2026'!$C$2:$C$152,B13,'Объемы работ 2026'!$G$2:$G$152)</f>
        <v>24</v>
      </c>
      <c r="F13" s="201">
        <f t="shared" si="36"/>
        <v>2027.5919999999996</v>
      </c>
      <c r="G13" s="200" t="s">
        <v>109</v>
      </c>
      <c r="H13" s="200">
        <v>93.879999999999995</v>
      </c>
      <c r="I13" s="200"/>
      <c r="J13" s="202"/>
      <c r="K13" s="202"/>
      <c r="L13" s="202">
        <f>162/2</f>
        <v>81</v>
      </c>
      <c r="M13" s="202">
        <f t="shared" si="40"/>
        <v>84.48299999999999</v>
      </c>
    </row>
    <row r="14" ht="12.9">
      <c r="A14" s="198">
        <v>13</v>
      </c>
      <c r="B14" s="77" t="s">
        <v>222</v>
      </c>
      <c r="C14" s="199" t="s">
        <v>39</v>
      </c>
      <c r="D14" s="200">
        <f t="shared" si="35"/>
        <v>21065.70046</v>
      </c>
      <c r="E14" s="200">
        <f>SUMIF('Объемы работ 2026'!$C$2:$C$152,B14,'Объемы работ 2026'!$G$2:$G$152)</f>
        <v>16</v>
      </c>
      <c r="F14" s="201">
        <f t="shared" si="36"/>
        <v>337051.20736</v>
      </c>
      <c r="G14" s="200" t="s">
        <v>105</v>
      </c>
      <c r="H14" s="200">
        <f t="shared" ref="H14:H69" si="41">I14/1.2</f>
        <v>22867.5</v>
      </c>
      <c r="I14" s="200">
        <v>27441</v>
      </c>
      <c r="J14" s="202"/>
      <c r="K14" s="200">
        <v>19090</v>
      </c>
      <c r="L14" s="202"/>
      <c r="M14" s="202">
        <f>K14*1.058*1.043</f>
        <v>21065.70046</v>
      </c>
    </row>
    <row r="15" ht="12.9">
      <c r="A15" s="198">
        <v>14</v>
      </c>
      <c r="B15" s="77" t="s">
        <v>223</v>
      </c>
      <c r="C15" s="199" t="s">
        <v>39</v>
      </c>
      <c r="D15" s="200">
        <f t="shared" si="35"/>
        <v>17826.955999999998</v>
      </c>
      <c r="E15" s="200">
        <f>SUMIF('Объемы работ 2026'!$C$2:$C$152,B15,'Объемы работ 2026'!$G$2:$G$152)</f>
        <v>16</v>
      </c>
      <c r="F15" s="201">
        <f t="shared" si="36"/>
        <v>285231.29599999997</v>
      </c>
      <c r="G15" s="200" t="s">
        <v>105</v>
      </c>
      <c r="H15" s="200">
        <f t="shared" si="41"/>
        <v>25216.666666666668</v>
      </c>
      <c r="I15" s="200">
        <v>30260</v>
      </c>
      <c r="J15" s="202"/>
      <c r="K15" s="202"/>
      <c r="L15" s="202">
        <v>17092</v>
      </c>
      <c r="M15" s="202">
        <f t="shared" ref="M15:M19" si="42">L15*1.043</f>
        <v>17826.955999999998</v>
      </c>
    </row>
    <row r="16" ht="12.9">
      <c r="A16" s="198">
        <v>15</v>
      </c>
      <c r="B16" s="77" t="s">
        <v>224</v>
      </c>
      <c r="C16" s="199" t="s">
        <v>39</v>
      </c>
      <c r="D16" s="200">
        <f t="shared" si="35"/>
        <v>3369.4723416666666</v>
      </c>
      <c r="E16" s="200">
        <f>SUMIF('Объемы работ 2026'!$C$2:$C$152,B16,'Объемы работ 2026'!$G$2:$G$152)</f>
        <v>4</v>
      </c>
      <c r="F16" s="201">
        <f t="shared" si="36"/>
        <v>13477.889366666666</v>
      </c>
      <c r="G16" s="200" t="s">
        <v>105</v>
      </c>
      <c r="H16" s="200">
        <v>3566.5</v>
      </c>
      <c r="I16" s="200"/>
      <c r="J16" s="202"/>
      <c r="K16" s="202"/>
      <c r="L16" s="202">
        <f>3876.67/1.2</f>
        <v>3230.5583333333334</v>
      </c>
      <c r="M16" s="202">
        <f t="shared" si="42"/>
        <v>3369.4723416666666</v>
      </c>
    </row>
    <row r="17" ht="12.9">
      <c r="A17" s="198">
        <v>16</v>
      </c>
      <c r="B17" s="77" t="s">
        <v>167</v>
      </c>
      <c r="C17" s="199" t="s">
        <v>39</v>
      </c>
      <c r="D17" s="200">
        <f t="shared" si="35"/>
        <v>11126.723999999998</v>
      </c>
      <c r="E17" s="200">
        <f>SUMIF('Объемы работ 2026'!$C$2:$C$152,B17,'Объемы работ 2026'!$G$2:$G$152)</f>
        <v>10</v>
      </c>
      <c r="F17" s="201">
        <f t="shared" si="36"/>
        <v>111267.23999999999</v>
      </c>
      <c r="G17" s="200" t="s">
        <v>105</v>
      </c>
      <c r="H17" s="200">
        <f t="shared" si="41"/>
        <v>12262.5</v>
      </c>
      <c r="I17" s="200">
        <v>14715</v>
      </c>
      <c r="J17" s="202"/>
      <c r="K17" s="202"/>
      <c r="L17" s="202">
        <v>10668</v>
      </c>
      <c r="M17" s="202">
        <f t="shared" si="42"/>
        <v>11126.723999999998</v>
      </c>
    </row>
    <row r="18" ht="12.9">
      <c r="A18" s="198">
        <v>17</v>
      </c>
      <c r="B18" s="77" t="s">
        <v>123</v>
      </c>
      <c r="C18" s="199" t="s">
        <v>39</v>
      </c>
      <c r="D18" s="200">
        <f t="shared" si="35"/>
        <v>10706.394999999999</v>
      </c>
      <c r="E18" s="200">
        <f>SUMIF('Объемы работ 2026'!$C$2:$C$152,B18,'Объемы работ 2026'!$G$2:$G$152)</f>
        <v>4</v>
      </c>
      <c r="F18" s="201">
        <f t="shared" si="36"/>
        <v>42825.579999999994</v>
      </c>
      <c r="G18" s="200" t="s">
        <v>105</v>
      </c>
      <c r="H18" s="200">
        <f t="shared" si="41"/>
        <v>16829.166666666668</v>
      </c>
      <c r="I18" s="200">
        <v>20195</v>
      </c>
      <c r="J18" s="202"/>
      <c r="K18" s="202"/>
      <c r="L18" s="202">
        <v>10265</v>
      </c>
      <c r="M18" s="202">
        <f t="shared" si="42"/>
        <v>10706.394999999999</v>
      </c>
    </row>
    <row r="19" ht="12.9">
      <c r="A19" s="198">
        <v>18</v>
      </c>
      <c r="B19" s="77" t="s">
        <v>124</v>
      </c>
      <c r="C19" s="199" t="s">
        <v>39</v>
      </c>
      <c r="D19" s="200">
        <f t="shared" si="35"/>
        <v>1449.1268166666666</v>
      </c>
      <c r="E19" s="200">
        <f>SUMIF('Объемы работ 2026'!$C$2:$C$152,B19,'Объемы работ 2026'!$G$2:$G$152)</f>
        <v>6</v>
      </c>
      <c r="F19" s="201">
        <f t="shared" si="36"/>
        <v>8694.7608999999993</v>
      </c>
      <c r="G19" s="200" t="s">
        <v>105</v>
      </c>
      <c r="H19" s="200">
        <v>2296.5</v>
      </c>
      <c r="I19" s="200"/>
      <c r="J19" s="202"/>
      <c r="K19" s="202"/>
      <c r="L19" s="202">
        <f>1667.26/1.2</f>
        <v>1389.3833333333334</v>
      </c>
      <c r="M19" s="202">
        <f t="shared" si="42"/>
        <v>1449.1268166666666</v>
      </c>
    </row>
    <row r="20" ht="12.9">
      <c r="A20" s="198">
        <v>19</v>
      </c>
      <c r="B20" s="77" t="s">
        <v>125</v>
      </c>
      <c r="C20" s="199" t="s">
        <v>39</v>
      </c>
      <c r="D20" s="200">
        <f t="shared" si="35"/>
        <v>10624.440232000001</v>
      </c>
      <c r="E20" s="200">
        <f>SUMIF('Объемы работ 2026'!$C$2:$C$152,B20,'Объемы работ 2026'!$G$2:$G$152)</f>
        <v>10</v>
      </c>
      <c r="F20" s="201">
        <f t="shared" si="36"/>
        <v>106244.40232000001</v>
      </c>
      <c r="G20" s="200" t="s">
        <v>105</v>
      </c>
      <c r="H20" s="200">
        <f t="shared" si="41"/>
        <v>13555.833333333334</v>
      </c>
      <c r="I20" s="200">
        <v>16267</v>
      </c>
      <c r="J20" s="202"/>
      <c r="K20" s="200">
        <v>9628</v>
      </c>
      <c r="L20" s="202"/>
      <c r="M20" s="202">
        <f t="shared" ref="M20:M21" si="43">K20*1.058*1.043</f>
        <v>10624.440232000001</v>
      </c>
    </row>
    <row r="21" ht="12.9">
      <c r="A21" s="198">
        <v>20</v>
      </c>
      <c r="B21" s="77" t="s">
        <v>126</v>
      </c>
      <c r="C21" s="199" t="s">
        <v>39</v>
      </c>
      <c r="D21" s="200">
        <f t="shared" si="35"/>
        <v>8898.5756159999983</v>
      </c>
      <c r="E21" s="200">
        <f>SUMIF('Объемы работ 2026'!$C$2:$C$152,B21,'Объемы работ 2026'!$G$2:$G$152)</f>
        <v>2</v>
      </c>
      <c r="F21" s="201">
        <f t="shared" si="36"/>
        <v>17797.151231999997</v>
      </c>
      <c r="G21" s="200" t="s">
        <v>105</v>
      </c>
      <c r="H21" s="200">
        <f t="shared" si="41"/>
        <v>9392.5</v>
      </c>
      <c r="I21" s="200">
        <v>11271</v>
      </c>
      <c r="J21" s="202"/>
      <c r="K21" s="200">
        <v>8064</v>
      </c>
      <c r="L21" s="202"/>
      <c r="M21" s="202">
        <f t="shared" si="43"/>
        <v>8898.5756159999983</v>
      </c>
    </row>
    <row r="22" ht="12.9">
      <c r="A22" s="198">
        <v>21</v>
      </c>
      <c r="B22" s="77" t="s">
        <v>127</v>
      </c>
      <c r="C22" s="199" t="s">
        <v>39</v>
      </c>
      <c r="D22" s="200">
        <f t="shared" si="35"/>
        <v>678.56710833333329</v>
      </c>
      <c r="E22" s="200">
        <f>SUMIF('Объемы работ 2026'!$C$2:$C$152,B22,'Объемы работ 2026'!$G$2:$G$152)</f>
        <v>2</v>
      </c>
      <c r="F22" s="201">
        <f t="shared" si="36"/>
        <v>1357.1342166666666</v>
      </c>
      <c r="G22" s="200" t="s">
        <v>105</v>
      </c>
      <c r="H22" s="200">
        <v>616.89999999999998</v>
      </c>
      <c r="I22" s="200"/>
      <c r="J22" s="202"/>
      <c r="K22" s="202"/>
      <c r="L22" s="202">
        <f>780.71/1.2</f>
        <v>650.5916666666667</v>
      </c>
      <c r="M22" s="202">
        <f>L22*1.043</f>
        <v>678.56710833333329</v>
      </c>
    </row>
    <row r="23" ht="12.9">
      <c r="A23" s="198">
        <v>22</v>
      </c>
      <c r="B23" s="77" t="s">
        <v>233</v>
      </c>
      <c r="C23" s="199" t="s">
        <v>39</v>
      </c>
      <c r="D23" s="200">
        <f t="shared" si="35"/>
        <v>8207.7883719999991</v>
      </c>
      <c r="E23" s="200">
        <f>SUMIF('Объемы работ 2026'!$C$2:$C$152,B23,'Объемы работ 2026'!$G$2:$G$152)</f>
        <v>2</v>
      </c>
      <c r="F23" s="201">
        <f t="shared" si="36"/>
        <v>16415.576743999998</v>
      </c>
      <c r="G23" s="200" t="s">
        <v>105</v>
      </c>
      <c r="H23" s="200">
        <f t="shared" si="41"/>
        <v>8980.8333333333339</v>
      </c>
      <c r="I23" s="200">
        <v>10777</v>
      </c>
      <c r="J23" s="202"/>
      <c r="K23" s="200">
        <v>7438</v>
      </c>
      <c r="L23" s="202"/>
      <c r="M23" s="202">
        <f t="shared" ref="M23:M26" si="44">K23*1.058*1.043</f>
        <v>8207.7883719999991</v>
      </c>
    </row>
    <row r="24" ht="12.9">
      <c r="A24" s="198">
        <v>23</v>
      </c>
      <c r="B24" s="77" t="s">
        <v>234</v>
      </c>
      <c r="C24" s="199" t="s">
        <v>39</v>
      </c>
      <c r="D24" s="200">
        <f t="shared" si="35"/>
        <v>8485.8688600000005</v>
      </c>
      <c r="E24" s="200">
        <f>SUMIF('Объемы работ 2026'!$C$2:$C$152,B24,'Объемы работ 2026'!$G$2:$G$152)</f>
        <v>8</v>
      </c>
      <c r="F24" s="201">
        <f t="shared" si="36"/>
        <v>67886.950880000004</v>
      </c>
      <c r="G24" s="200" t="s">
        <v>105</v>
      </c>
      <c r="H24" s="200">
        <f t="shared" si="41"/>
        <v>8650.8333333333339</v>
      </c>
      <c r="I24" s="200">
        <v>10381</v>
      </c>
      <c r="J24" s="202"/>
      <c r="K24" s="200">
        <v>7690</v>
      </c>
      <c r="L24" s="202"/>
      <c r="M24" s="202">
        <f t="shared" si="44"/>
        <v>8485.8688600000005</v>
      </c>
    </row>
    <row r="25" ht="12.9">
      <c r="A25" s="198">
        <v>24</v>
      </c>
      <c r="B25" s="77" t="s">
        <v>168</v>
      </c>
      <c r="C25" s="199" t="s">
        <v>39</v>
      </c>
      <c r="D25" s="200">
        <f t="shared" si="35"/>
        <v>7043.6022019999991</v>
      </c>
      <c r="E25" s="200">
        <f>SUMIF('Объемы работ 2026'!$C$2:$C$152,B25,'Объемы работ 2026'!$G$2:$G$152)</f>
        <v>6</v>
      </c>
      <c r="F25" s="201">
        <f>D25*E25</f>
        <v>42261.613211999997</v>
      </c>
      <c r="G25" s="200" t="s">
        <v>105</v>
      </c>
      <c r="H25" s="200">
        <f t="shared" si="41"/>
        <v>7082.5</v>
      </c>
      <c r="I25" s="200">
        <v>8499</v>
      </c>
      <c r="J25" s="202"/>
      <c r="K25" s="200">
        <v>6383</v>
      </c>
      <c r="L25" s="202"/>
      <c r="M25" s="202">
        <f t="shared" si="44"/>
        <v>7043.6022019999991</v>
      </c>
    </row>
    <row r="26" ht="12.9">
      <c r="A26" s="198">
        <v>24</v>
      </c>
      <c r="B26" s="77" t="s">
        <v>169</v>
      </c>
      <c r="C26" s="199" t="s">
        <v>39</v>
      </c>
      <c r="D26" s="200">
        <f t="shared" si="35"/>
        <v>6893.5270179999998</v>
      </c>
      <c r="E26" s="200">
        <f>SUMIF('Объемы работ 2026'!$C$2:$C$152,B26,'Объемы работ 2026'!$G$2:$G$152)</f>
        <v>16</v>
      </c>
      <c r="F26" s="201">
        <f t="shared" si="36"/>
        <v>110296.432288</v>
      </c>
      <c r="G26" s="200" t="s">
        <v>105</v>
      </c>
      <c r="H26" s="200">
        <f t="shared" si="41"/>
        <v>6795.8333333333339</v>
      </c>
      <c r="I26" s="200">
        <v>8155</v>
      </c>
      <c r="J26" s="202"/>
      <c r="K26" s="200">
        <v>6247</v>
      </c>
      <c r="L26" s="202"/>
      <c r="M26" s="202">
        <f t="shared" si="44"/>
        <v>6893.5270179999998</v>
      </c>
    </row>
    <row r="27" ht="12.9">
      <c r="A27" s="198">
        <v>25</v>
      </c>
      <c r="B27" s="77" t="s">
        <v>170</v>
      </c>
      <c r="C27" s="199" t="s">
        <v>39</v>
      </c>
      <c r="D27" s="200">
        <f t="shared" si="35"/>
        <v>5816.8109999999997</v>
      </c>
      <c r="E27" s="200">
        <f>SUMIF('Объемы работ 2026'!$C$2:$C$152,B27,'Объемы работ 2026'!$G$2:$G$152)</f>
        <v>2</v>
      </c>
      <c r="F27" s="201">
        <f t="shared" si="36"/>
        <v>11633.621999999999</v>
      </c>
      <c r="G27" s="200" t="s">
        <v>105</v>
      </c>
      <c r="H27" s="200">
        <f t="shared" si="41"/>
        <v>7082.5</v>
      </c>
      <c r="I27" s="200">
        <v>8499</v>
      </c>
      <c r="J27" s="202"/>
      <c r="K27" s="202"/>
      <c r="L27" s="202">
        <v>5577</v>
      </c>
      <c r="M27" s="202">
        <f t="shared" ref="M27:M46" si="45">L27*1.043</f>
        <v>5816.8109999999997</v>
      </c>
    </row>
    <row r="28" ht="12.9">
      <c r="A28" s="198">
        <v>26</v>
      </c>
      <c r="B28" s="77" t="s">
        <v>171</v>
      </c>
      <c r="C28" s="199" t="s">
        <v>39</v>
      </c>
      <c r="D28" s="200">
        <f t="shared" si="35"/>
        <v>289.93661666666668</v>
      </c>
      <c r="E28" s="200">
        <f>SUMIF('Объемы работ 2026'!$C$2:$C$152,B28,'Объемы работ 2026'!$G$2:$G$152)</f>
        <v>10</v>
      </c>
      <c r="F28" s="201">
        <f t="shared" si="36"/>
        <v>2899.3661666666667</v>
      </c>
      <c r="G28" s="200" t="s">
        <v>105</v>
      </c>
      <c r="H28" s="200">
        <v>304.10000000000002</v>
      </c>
      <c r="I28" s="200"/>
      <c r="J28" s="202"/>
      <c r="K28" s="202"/>
      <c r="L28" s="202">
        <f>333.58/1.2</f>
        <v>277.98333333333335</v>
      </c>
      <c r="M28" s="202">
        <f t="shared" si="45"/>
        <v>289.93661666666668</v>
      </c>
    </row>
    <row r="29" ht="12.9">
      <c r="A29" s="198">
        <v>27</v>
      </c>
      <c r="B29" s="77" t="s">
        <v>172</v>
      </c>
      <c r="C29" s="199" t="s">
        <v>39</v>
      </c>
      <c r="D29" s="200">
        <f t="shared" si="35"/>
        <v>4393.116</v>
      </c>
      <c r="E29" s="200">
        <f>SUMIF('Объемы работ 2026'!$C$2:$C$152,B29,'Объемы работ 2026'!$G$2:$G$152)</f>
        <v>20</v>
      </c>
      <c r="F29" s="201">
        <f t="shared" si="36"/>
        <v>87862.320000000007</v>
      </c>
      <c r="G29" s="200" t="s">
        <v>105</v>
      </c>
      <c r="H29" s="200">
        <f t="shared" si="41"/>
        <v>5256.666666666667</v>
      </c>
      <c r="I29" s="200">
        <v>6308</v>
      </c>
      <c r="J29" s="202"/>
      <c r="K29" s="202"/>
      <c r="L29" s="202">
        <v>4212</v>
      </c>
      <c r="M29" s="202">
        <f t="shared" si="45"/>
        <v>4393.116</v>
      </c>
    </row>
    <row r="30" ht="12.9">
      <c r="A30" s="198">
        <v>28</v>
      </c>
      <c r="B30" s="77" t="s">
        <v>173</v>
      </c>
      <c r="C30" s="199" t="s">
        <v>39</v>
      </c>
      <c r="D30" s="200">
        <f t="shared" si="35"/>
        <v>156.05018333333334</v>
      </c>
      <c r="E30" s="200">
        <f>SUMIF('Объемы работ 2026'!$C$2:$C$152,B30,'Объемы работ 2026'!$G$2:$G$152)</f>
        <v>8</v>
      </c>
      <c r="F30" s="201">
        <f t="shared" si="36"/>
        <v>1248.4014666666667</v>
      </c>
      <c r="G30" s="200" t="s">
        <v>105</v>
      </c>
      <c r="H30" s="200">
        <v>245.90000000000001</v>
      </c>
      <c r="I30" s="200"/>
      <c r="J30" s="202"/>
      <c r="K30" s="202"/>
      <c r="L30" s="202">
        <f>179.54/1.2</f>
        <v>149.61666666666667</v>
      </c>
      <c r="M30" s="202">
        <f t="shared" si="45"/>
        <v>156.05018333333334</v>
      </c>
    </row>
    <row r="31" ht="12.9">
      <c r="A31" s="198">
        <v>29</v>
      </c>
      <c r="B31" s="77" t="s">
        <v>174</v>
      </c>
      <c r="C31" s="199" t="s">
        <v>39</v>
      </c>
      <c r="D31" s="200">
        <f t="shared" si="35"/>
        <v>101.3796</v>
      </c>
      <c r="E31" s="200">
        <f>SUMIF('Объемы работ 2026'!$C$2:$C$152,B31,'Объемы работ 2026'!$G$2:$G$152)</f>
        <v>4</v>
      </c>
      <c r="F31" s="201">
        <f t="shared" si="36"/>
        <v>405.51839999999999</v>
      </c>
      <c r="G31" s="200" t="s">
        <v>105</v>
      </c>
      <c r="H31" s="200">
        <v>130.69999999999999</v>
      </c>
      <c r="I31" s="200"/>
      <c r="J31" s="202"/>
      <c r="K31" s="202"/>
      <c r="L31" s="202">
        <v>97.200000000000003</v>
      </c>
      <c r="M31" s="202">
        <f t="shared" si="45"/>
        <v>101.3796</v>
      </c>
    </row>
    <row r="32" ht="12.9">
      <c r="A32" s="198">
        <v>30</v>
      </c>
      <c r="B32" s="77" t="s">
        <v>175</v>
      </c>
      <c r="C32" s="199" t="s">
        <v>39</v>
      </c>
      <c r="D32" s="200">
        <f t="shared" si="35"/>
        <v>37.756599999999999</v>
      </c>
      <c r="E32" s="200">
        <f>SUMIF('Объемы работ 2026'!$C$2:$C$152,B32,'Объемы работ 2026'!$G$2:$G$152)</f>
        <v>6</v>
      </c>
      <c r="F32" s="201">
        <f t="shared" si="36"/>
        <v>226.53960000000001</v>
      </c>
      <c r="G32" s="200" t="s">
        <v>105</v>
      </c>
      <c r="H32" s="200">
        <v>44.899999999999999</v>
      </c>
      <c r="I32" s="200"/>
      <c r="J32" s="202"/>
      <c r="K32" s="202"/>
      <c r="L32" s="202">
        <v>36.200000000000003</v>
      </c>
      <c r="M32" s="202">
        <f t="shared" si="45"/>
        <v>37.756599999999999</v>
      </c>
    </row>
    <row r="33" ht="12.9">
      <c r="A33" s="198">
        <v>27</v>
      </c>
      <c r="B33" s="77" t="s">
        <v>176</v>
      </c>
      <c r="C33" s="199" t="s">
        <v>39</v>
      </c>
      <c r="D33" s="200">
        <f t="shared" si="35"/>
        <v>14.476839999999999</v>
      </c>
      <c r="E33" s="200">
        <f>SUMIF('Объемы работ 2026'!$C$2:$C$152,B33,'Объемы работ 2026'!$G$2:$G$152)</f>
        <v>6</v>
      </c>
      <c r="F33" s="201">
        <f t="shared" ref="F33:F37" si="46">D33*E33</f>
        <v>86.861040000000003</v>
      </c>
      <c r="G33" s="200" t="s">
        <v>105</v>
      </c>
      <c r="H33" s="200">
        <v>13.880000000000001</v>
      </c>
      <c r="I33" s="200"/>
      <c r="J33" s="202"/>
      <c r="K33" s="202"/>
      <c r="L33" s="202">
        <v>13.880000000000001</v>
      </c>
      <c r="M33" s="202">
        <f t="shared" si="45"/>
        <v>14.476839999999999</v>
      </c>
      <c r="T33" s="204" t="s">
        <v>701</v>
      </c>
    </row>
    <row r="34" ht="12.9">
      <c r="A34" s="198">
        <v>28</v>
      </c>
      <c r="B34" s="77" t="s">
        <v>177</v>
      </c>
      <c r="C34" s="199" t="s">
        <v>39</v>
      </c>
      <c r="D34" s="200">
        <f t="shared" ref="D34:D92" si="47">M34</f>
        <v>14.226519999999999</v>
      </c>
      <c r="E34" s="200">
        <f>SUMIF('Объемы работ 2026'!$C$2:$C$152,B34,'Объемы работ 2026'!$G$2:$G$152)</f>
        <v>2</v>
      </c>
      <c r="F34" s="201">
        <f t="shared" si="46"/>
        <v>28.453039999999998</v>
      </c>
      <c r="G34" s="200" t="s">
        <v>105</v>
      </c>
      <c r="H34" s="200">
        <v>13.640000000000001</v>
      </c>
      <c r="I34" s="200"/>
      <c r="J34" s="202"/>
      <c r="K34" s="202"/>
      <c r="L34" s="202">
        <v>13.640000000000001</v>
      </c>
      <c r="M34" s="202">
        <f t="shared" si="45"/>
        <v>14.226519999999999</v>
      </c>
      <c r="T34" s="204" t="s">
        <v>702</v>
      </c>
    </row>
    <row r="35" ht="12.9">
      <c r="A35" s="198">
        <v>29</v>
      </c>
      <c r="B35" s="77" t="s">
        <v>178</v>
      </c>
      <c r="C35" s="199" t="s">
        <v>39</v>
      </c>
      <c r="D35" s="200">
        <f t="shared" si="47"/>
        <v>10.200539999999998</v>
      </c>
      <c r="E35" s="200">
        <f>SUMIF('Объемы работ 2026'!$C$2:$C$152,B35,'Объемы работ 2026'!$G$2:$G$152)</f>
        <v>8</v>
      </c>
      <c r="F35" s="201">
        <f t="shared" si="46"/>
        <v>81.604319999999987</v>
      </c>
      <c r="G35" s="200" t="s">
        <v>105</v>
      </c>
      <c r="H35" s="200">
        <v>9.7799999999999994</v>
      </c>
      <c r="I35" s="200"/>
      <c r="J35" s="202"/>
      <c r="K35" s="202"/>
      <c r="L35" s="202">
        <v>9.7799999999999994</v>
      </c>
      <c r="M35" s="202">
        <f t="shared" si="45"/>
        <v>10.200539999999998</v>
      </c>
      <c r="T35" s="204" t="s">
        <v>703</v>
      </c>
    </row>
    <row r="36" ht="12.9">
      <c r="A36" s="198">
        <v>30</v>
      </c>
      <c r="B36" s="77" t="s">
        <v>682</v>
      </c>
      <c r="C36" s="199" t="s">
        <v>39</v>
      </c>
      <c r="D36" s="200">
        <f t="shared" si="47"/>
        <v>8.3439999999999994</v>
      </c>
      <c r="E36" s="200">
        <f>SUMIF('Объемы работ 2026'!$C$2:$C$152,B36,'Объемы работ 2026'!$G$2:$G$152)</f>
        <v>2</v>
      </c>
      <c r="F36" s="201">
        <f t="shared" si="46"/>
        <v>16.687999999999999</v>
      </c>
      <c r="G36" s="200" t="s">
        <v>105</v>
      </c>
      <c r="H36" s="200">
        <v>8.4499999999999993</v>
      </c>
      <c r="I36" s="200"/>
      <c r="J36" s="202"/>
      <c r="K36" s="202"/>
      <c r="L36" s="202">
        <v>8</v>
      </c>
      <c r="M36" s="202">
        <f t="shared" si="45"/>
        <v>8.3439999999999994</v>
      </c>
      <c r="T36" s="204" t="s">
        <v>704</v>
      </c>
    </row>
    <row r="37" ht="12.9">
      <c r="A37" s="198">
        <v>31</v>
      </c>
      <c r="B37" s="77" t="s">
        <v>180</v>
      </c>
      <c r="C37" s="199" t="s">
        <v>39</v>
      </c>
      <c r="D37" s="200">
        <f t="shared" si="47"/>
        <v>5.141989999999999</v>
      </c>
      <c r="E37" s="200">
        <f>SUMIF('Объемы работ 2026'!$C$2:$C$152,B37,'Объемы работ 2026'!$G$2:$G$152)</f>
        <v>2</v>
      </c>
      <c r="F37" s="201">
        <f t="shared" si="46"/>
        <v>10.283979999999998</v>
      </c>
      <c r="G37" s="200" t="s">
        <v>105</v>
      </c>
      <c r="H37" s="200">
        <v>13.640000000000001</v>
      </c>
      <c r="I37" s="200"/>
      <c r="J37" s="202"/>
      <c r="K37" s="202"/>
      <c r="L37" s="202">
        <v>4.9299999999999997</v>
      </c>
      <c r="M37" s="202">
        <f t="shared" si="45"/>
        <v>5.141989999999999</v>
      </c>
      <c r="T37" s="204" t="s">
        <v>705</v>
      </c>
    </row>
    <row r="38" ht="12.9">
      <c r="A38" s="198">
        <v>32</v>
      </c>
      <c r="B38" s="77" t="s">
        <v>128</v>
      </c>
      <c r="C38" s="199" t="s">
        <v>39</v>
      </c>
      <c r="D38" s="200">
        <f t="shared" si="47"/>
        <v>6708.5759999999991</v>
      </c>
      <c r="E38" s="200">
        <f>SUMIF('Объемы работ 2026'!$C$2:$C$152,B38,'Объемы работ 2026'!$G$2:$G$152)</f>
        <v>2</v>
      </c>
      <c r="F38" s="201">
        <f t="shared" si="36"/>
        <v>13417.151999999998</v>
      </c>
      <c r="G38" s="200" t="s">
        <v>106</v>
      </c>
      <c r="H38" s="200">
        <f t="shared" si="41"/>
        <v>7615</v>
      </c>
      <c r="I38" s="200">
        <v>9138</v>
      </c>
      <c r="J38" s="202"/>
      <c r="K38" s="202"/>
      <c r="L38" s="202">
        <v>6432</v>
      </c>
      <c r="M38" s="202">
        <f t="shared" si="45"/>
        <v>6708.5759999999991</v>
      </c>
    </row>
    <row r="39" ht="12.9">
      <c r="A39" s="198">
        <v>33</v>
      </c>
      <c r="B39" s="77" t="s">
        <v>131</v>
      </c>
      <c r="C39" s="199" t="s">
        <v>39</v>
      </c>
      <c r="D39" s="200">
        <f t="shared" si="47"/>
        <v>5023.0879999999997</v>
      </c>
      <c r="E39" s="200">
        <f>SUMIF('Объемы работ 2026'!$C$2:$C$152,B39,'Объемы работ 2026'!$G$2:$G$152)</f>
        <v>2</v>
      </c>
      <c r="F39" s="201">
        <f t="shared" si="36"/>
        <v>10046.175999999999</v>
      </c>
      <c r="G39" s="200" t="s">
        <v>106</v>
      </c>
      <c r="H39" s="200">
        <f t="shared" si="41"/>
        <v>5222.5</v>
      </c>
      <c r="I39" s="200">
        <v>6267</v>
      </c>
      <c r="J39" s="202"/>
      <c r="K39" s="202"/>
      <c r="L39" s="202">
        <v>4816</v>
      </c>
      <c r="M39" s="202">
        <f t="shared" si="45"/>
        <v>5023.0879999999997</v>
      </c>
    </row>
    <row r="40" ht="12.9">
      <c r="A40" s="198">
        <v>34</v>
      </c>
      <c r="B40" s="77" t="s">
        <v>235</v>
      </c>
      <c r="C40" s="199" t="s">
        <v>39</v>
      </c>
      <c r="D40" s="200">
        <f t="shared" si="47"/>
        <v>3015.3129999999996</v>
      </c>
      <c r="E40" s="200">
        <f>SUMIF('Объемы работ 2026'!$C$2:$C$152,B40,'Объемы работ 2026'!$G$2:$G$152)</f>
        <v>4</v>
      </c>
      <c r="F40" s="201">
        <f t="shared" si="36"/>
        <v>12061.251999999999</v>
      </c>
      <c r="G40" s="200" t="s">
        <v>106</v>
      </c>
      <c r="H40" s="200">
        <f t="shared" si="41"/>
        <v>4093.3333333333335</v>
      </c>
      <c r="I40" s="200">
        <v>4912</v>
      </c>
      <c r="J40" s="202"/>
      <c r="K40" s="202"/>
      <c r="L40" s="202">
        <v>2891</v>
      </c>
      <c r="M40" s="202">
        <f t="shared" si="45"/>
        <v>3015.3129999999996</v>
      </c>
    </row>
    <row r="41" ht="12.9">
      <c r="A41" s="198">
        <v>35</v>
      </c>
      <c r="B41" s="77" t="s">
        <v>181</v>
      </c>
      <c r="C41" s="199" t="s">
        <v>39</v>
      </c>
      <c r="D41" s="200">
        <f t="shared" si="47"/>
        <v>2068.2689999999998</v>
      </c>
      <c r="E41" s="200">
        <f>SUMIF('Объемы работ 2026'!$C$2:$C$152,B41,'Объемы работ 2026'!$G$2:$G$152)</f>
        <v>4</v>
      </c>
      <c r="F41" s="201">
        <f t="shared" si="36"/>
        <v>8273.0759999999991</v>
      </c>
      <c r="G41" s="200" t="s">
        <v>106</v>
      </c>
      <c r="H41" s="200">
        <f t="shared" si="41"/>
        <v>3310</v>
      </c>
      <c r="I41" s="200">
        <v>3972</v>
      </c>
      <c r="J41" s="202"/>
      <c r="K41" s="202"/>
      <c r="L41" s="202">
        <v>1983</v>
      </c>
      <c r="M41" s="202">
        <f t="shared" si="45"/>
        <v>2068.2689999999998</v>
      </c>
    </row>
    <row r="42" ht="12.9">
      <c r="A42" s="198">
        <v>37</v>
      </c>
      <c r="B42" s="77" t="s">
        <v>183</v>
      </c>
      <c r="C42" s="199" t="s">
        <v>39</v>
      </c>
      <c r="D42" s="200">
        <f t="shared" si="47"/>
        <v>30.246999999999996</v>
      </c>
      <c r="E42" s="200">
        <f>SUMIF('Объемы работ 2026'!$C$2:$C$152,B42,'Объемы работ 2026'!$G$2:$G$152)</f>
        <v>2</v>
      </c>
      <c r="F42" s="201">
        <f t="shared" si="36"/>
        <v>60.493999999999993</v>
      </c>
      <c r="G42" s="200" t="s">
        <v>106</v>
      </c>
      <c r="H42" s="200">
        <v>17.899999999999999</v>
      </c>
      <c r="I42" s="200"/>
      <c r="J42" s="202"/>
      <c r="K42" s="202"/>
      <c r="L42" s="202">
        <v>29</v>
      </c>
      <c r="M42" s="202">
        <f t="shared" si="45"/>
        <v>30.246999999999996</v>
      </c>
    </row>
    <row r="43" ht="12.9">
      <c r="A43" s="198">
        <v>38</v>
      </c>
      <c r="B43" s="77" t="s">
        <v>184</v>
      </c>
      <c r="C43" s="199" t="s">
        <v>39</v>
      </c>
      <c r="D43" s="200">
        <f t="shared" si="47"/>
        <v>39.634</v>
      </c>
      <c r="E43" s="200">
        <f>SUMIF('Объемы работ 2026'!$C$2:$C$152,B43,'Объемы работ 2026'!$G$2:$G$152)</f>
        <v>2</v>
      </c>
      <c r="F43" s="201">
        <f t="shared" si="36"/>
        <v>79.268000000000001</v>
      </c>
      <c r="G43" s="200" t="s">
        <v>106</v>
      </c>
      <c r="H43" s="200">
        <v>11.9</v>
      </c>
      <c r="I43" s="200"/>
      <c r="J43" s="202"/>
      <c r="K43" s="202"/>
      <c r="L43" s="202">
        <v>38</v>
      </c>
      <c r="M43" s="202">
        <f t="shared" si="45"/>
        <v>39.634</v>
      </c>
    </row>
    <row r="44" ht="13.5">
      <c r="A44" s="198">
        <v>39</v>
      </c>
      <c r="B44" s="77" t="s">
        <v>185</v>
      </c>
      <c r="C44" s="199" t="s">
        <v>39</v>
      </c>
      <c r="D44" s="200">
        <f t="shared" si="47"/>
        <v>88.654999999999987</v>
      </c>
      <c r="E44" s="200">
        <f>SUMIF('Объемы работ 2026'!$C$2:$C$152,B44,'Объемы работ 2026'!$G$2:$G$152)</f>
        <v>2</v>
      </c>
      <c r="F44" s="201">
        <f t="shared" si="36"/>
        <v>177.30999999999997</v>
      </c>
      <c r="G44" s="200" t="s">
        <v>106</v>
      </c>
      <c r="H44" s="200">
        <v>358.06999999999999</v>
      </c>
      <c r="I44" s="200"/>
      <c r="J44" s="202"/>
      <c r="K44" s="202"/>
      <c r="L44" s="202">
        <v>85</v>
      </c>
      <c r="M44" s="202">
        <f t="shared" si="45"/>
        <v>88.654999999999987</v>
      </c>
      <c r="P44" s="205" t="s">
        <v>706</v>
      </c>
    </row>
    <row r="45" ht="12.9">
      <c r="A45" s="198">
        <v>39</v>
      </c>
      <c r="B45" s="77" t="s">
        <v>187</v>
      </c>
      <c r="C45" s="199" t="s">
        <v>39</v>
      </c>
      <c r="D45" s="200">
        <f t="shared" si="47"/>
        <v>71.966999999999999</v>
      </c>
      <c r="E45" s="200">
        <f>SUMIF('Объемы работ 2026'!$C$2:$C$152,B45,'Объемы работ 2026'!$G$2:$G$152)</f>
        <v>2</v>
      </c>
      <c r="F45" s="201">
        <f>D45*E45</f>
        <v>143.934</v>
      </c>
      <c r="G45" s="200" t="s">
        <v>106</v>
      </c>
      <c r="H45" s="200">
        <v>99.379999999999995</v>
      </c>
      <c r="I45" s="200"/>
      <c r="J45" s="202"/>
      <c r="K45" s="202"/>
      <c r="L45" s="202">
        <v>69</v>
      </c>
      <c r="M45" s="202">
        <f t="shared" si="45"/>
        <v>71.966999999999999</v>
      </c>
      <c r="P45" s="206" t="s">
        <v>707</v>
      </c>
    </row>
    <row r="46" ht="12.9">
      <c r="A46" s="198">
        <v>40</v>
      </c>
      <c r="B46" s="77" t="s">
        <v>225</v>
      </c>
      <c r="C46" s="199" t="s">
        <v>39</v>
      </c>
      <c r="D46" s="200">
        <f t="shared" si="47"/>
        <v>22346.274999999998</v>
      </c>
      <c r="E46" s="200">
        <f>SUMIF('Объемы работ 2026'!$C$2:$C$152,B46,'Объемы работ 2026'!$G$2:$G$152)</f>
        <v>1</v>
      </c>
      <c r="F46" s="201">
        <f t="shared" si="36"/>
        <v>22346.274999999998</v>
      </c>
      <c r="G46" s="200" t="s">
        <v>46</v>
      </c>
      <c r="H46" s="200">
        <f t="shared" si="41"/>
        <v>25517.5</v>
      </c>
      <c r="I46" s="200">
        <v>30621</v>
      </c>
      <c r="J46" s="202"/>
      <c r="K46" s="202"/>
      <c r="L46" s="202">
        <f>V46</f>
        <v>21425</v>
      </c>
      <c r="M46" s="202">
        <f t="shared" si="45"/>
        <v>22346.274999999998</v>
      </c>
      <c r="T46" s="207">
        <v>25112.5</v>
      </c>
      <c r="U46" s="207">
        <v>24258.333333333336</v>
      </c>
      <c r="V46" s="208">
        <v>21425</v>
      </c>
    </row>
    <row r="47" ht="12.9">
      <c r="A47" s="198">
        <v>41</v>
      </c>
      <c r="B47" s="77" t="s">
        <v>227</v>
      </c>
      <c r="C47" s="199" t="s">
        <v>39</v>
      </c>
      <c r="D47" s="200">
        <f t="shared" si="47"/>
        <v>23667.739311999998</v>
      </c>
      <c r="E47" s="200">
        <f>SUMIF('Объемы работ 2026'!$C$2:$C$152,B47,'Объемы работ 2026'!$G$2:$G$152)</f>
        <v>1</v>
      </c>
      <c r="F47" s="201">
        <f t="shared" si="36"/>
        <v>23667.739311999998</v>
      </c>
      <c r="G47" s="200" t="s">
        <v>46</v>
      </c>
      <c r="H47" s="200">
        <f t="shared" si="41"/>
        <v>23839.166666666668</v>
      </c>
      <c r="I47" s="200">
        <v>28607</v>
      </c>
      <c r="J47" s="202"/>
      <c r="K47" s="200">
        <v>21448</v>
      </c>
      <c r="L47" s="202"/>
      <c r="M47" s="202">
        <f>K47*1.058*1.043</f>
        <v>23667.739311999998</v>
      </c>
      <c r="T47" s="207">
        <v>23479.166666666668</v>
      </c>
      <c r="U47" s="208">
        <v>13633.333333333334</v>
      </c>
      <c r="V47" s="207">
        <v>19551</v>
      </c>
    </row>
    <row r="48" ht="12.9">
      <c r="A48" s="198">
        <v>42</v>
      </c>
      <c r="B48" s="77" t="s">
        <v>189</v>
      </c>
      <c r="C48" s="199" t="s">
        <v>39</v>
      </c>
      <c r="D48" s="200">
        <f t="shared" si="47"/>
        <v>13167.874999999998</v>
      </c>
      <c r="E48" s="200">
        <f>SUMIF('Объемы работ 2026'!$C$2:$C$152,B48,'Объемы работ 2026'!$G$2:$G$152)</f>
        <v>3</v>
      </c>
      <c r="F48" s="201">
        <f t="shared" si="36"/>
        <v>39503.624999999993</v>
      </c>
      <c r="G48" s="200" t="s">
        <v>46</v>
      </c>
      <c r="H48" s="200">
        <f t="shared" si="41"/>
        <v>14132.5</v>
      </c>
      <c r="I48" s="200">
        <v>16959</v>
      </c>
      <c r="J48" s="202"/>
      <c r="K48" s="202"/>
      <c r="L48" s="202">
        <f>U48</f>
        <v>12625</v>
      </c>
      <c r="M48" s="202">
        <f t="shared" ref="M48:M58" si="48">L48*1.043</f>
        <v>13167.874999999998</v>
      </c>
      <c r="T48" s="207">
        <v>13890</v>
      </c>
      <c r="U48" s="208">
        <v>12625</v>
      </c>
      <c r="V48" s="207">
        <v>12750</v>
      </c>
    </row>
    <row r="49" ht="12.9">
      <c r="A49" s="198">
        <v>44</v>
      </c>
      <c r="B49" s="77" t="s">
        <v>237</v>
      </c>
      <c r="C49" s="199" t="s">
        <v>39</v>
      </c>
      <c r="D49" s="200">
        <f t="shared" si="47"/>
        <v>9460.0100000000002</v>
      </c>
      <c r="E49" s="200">
        <f>SUMIF('Объемы работ 2026'!$C$2:$C$152,B49,'Объемы работ 2026'!$G$2:$G$152)</f>
        <v>2</v>
      </c>
      <c r="F49" s="201">
        <f t="shared" si="36"/>
        <v>18920.02</v>
      </c>
      <c r="G49" s="200" t="s">
        <v>46</v>
      </c>
      <c r="H49" s="200">
        <f t="shared" si="41"/>
        <v>10345</v>
      </c>
      <c r="I49" s="200">
        <v>12414</v>
      </c>
      <c r="J49" s="202"/>
      <c r="K49" s="202"/>
      <c r="L49" s="202">
        <f t="shared" ref="L49:L51" si="49">V49</f>
        <v>9070</v>
      </c>
      <c r="M49" s="202">
        <f t="shared" si="48"/>
        <v>9460.0100000000002</v>
      </c>
      <c r="T49" s="207">
        <v>10165.833333333334</v>
      </c>
      <c r="U49" s="207">
        <v>13125</v>
      </c>
      <c r="V49" s="208">
        <v>9070</v>
      </c>
    </row>
    <row r="50" ht="12.9">
      <c r="A50" s="198">
        <v>45</v>
      </c>
      <c r="B50" s="77" t="s">
        <v>193</v>
      </c>
      <c r="C50" s="199" t="s">
        <v>39</v>
      </c>
      <c r="D50" s="200">
        <f t="shared" si="47"/>
        <v>8341.9139999999989</v>
      </c>
      <c r="E50" s="200">
        <f>SUMIF('Объемы работ 2026'!$C$2:$C$152,B50,'Объемы работ 2026'!$G$2:$G$152)</f>
        <v>2</v>
      </c>
      <c r="F50" s="201">
        <f t="shared" si="36"/>
        <v>16683.827999999998</v>
      </c>
      <c r="G50" s="200" t="s">
        <v>46</v>
      </c>
      <c r="H50" s="200">
        <f t="shared" si="41"/>
        <v>9296.6666666666679</v>
      </c>
      <c r="I50" s="200">
        <v>11156</v>
      </c>
      <c r="J50" s="202"/>
      <c r="K50" s="202"/>
      <c r="L50" s="202">
        <f t="shared" si="49"/>
        <v>7998</v>
      </c>
      <c r="M50" s="202">
        <f t="shared" si="48"/>
        <v>8341.9139999999989</v>
      </c>
      <c r="T50" s="207">
        <v>9119.1666666666679</v>
      </c>
      <c r="U50" s="207">
        <v>11716.666666666668</v>
      </c>
      <c r="V50" s="208">
        <v>7998</v>
      </c>
    </row>
    <row r="51" ht="12.9">
      <c r="A51" s="198">
        <v>46</v>
      </c>
      <c r="B51" s="77" t="s">
        <v>195</v>
      </c>
      <c r="C51" s="199" t="s">
        <v>39</v>
      </c>
      <c r="D51" s="200">
        <f t="shared" si="47"/>
        <v>8846.7259999999987</v>
      </c>
      <c r="E51" s="200">
        <f>SUMIF('Объемы работ 2026'!$C$2:$C$152,B51,'Объемы работ 2026'!$G$2:$G$152)</f>
        <v>1</v>
      </c>
      <c r="F51" s="201">
        <f t="shared" si="36"/>
        <v>8846.7259999999987</v>
      </c>
      <c r="G51" s="200" t="s">
        <v>46</v>
      </c>
      <c r="H51" s="200">
        <f t="shared" si="41"/>
        <v>9343.3333333333339</v>
      </c>
      <c r="I51" s="200">
        <v>11212</v>
      </c>
      <c r="J51" s="202"/>
      <c r="K51" s="202"/>
      <c r="L51" s="202">
        <f t="shared" si="49"/>
        <v>8482</v>
      </c>
      <c r="M51" s="202">
        <f t="shared" si="48"/>
        <v>8846.7259999999987</v>
      </c>
      <c r="T51" s="207">
        <v>9187.5</v>
      </c>
      <c r="U51" s="207">
        <v>11533.333333333334</v>
      </c>
      <c r="V51" s="208">
        <v>8482</v>
      </c>
    </row>
    <row r="52" ht="12.9">
      <c r="A52" s="198">
        <v>47</v>
      </c>
      <c r="B52" s="77" t="s">
        <v>196</v>
      </c>
      <c r="C52" s="199" t="s">
        <v>39</v>
      </c>
      <c r="D52" s="200">
        <f t="shared" si="47"/>
        <v>7944.1833333333334</v>
      </c>
      <c r="E52" s="200">
        <f>SUMIF('Объемы работ 2026'!$C$2:$C$152,B52,'Объемы работ 2026'!$G$2:$G$152)</f>
        <v>3</v>
      </c>
      <c r="F52" s="201">
        <f t="shared" si="36"/>
        <v>23832.549999999999</v>
      </c>
      <c r="G52" s="200" t="s">
        <v>46</v>
      </c>
      <c r="H52" s="200">
        <f t="shared" si="41"/>
        <v>10184.166666666668</v>
      </c>
      <c r="I52" s="200">
        <v>12221</v>
      </c>
      <c r="J52" s="202"/>
      <c r="K52" s="202"/>
      <c r="L52" s="202">
        <f>U52</f>
        <v>7616.666666666667</v>
      </c>
      <c r="M52" s="202">
        <f t="shared" si="48"/>
        <v>7944.1833333333334</v>
      </c>
      <c r="T52" s="207">
        <v>10084.166666666668</v>
      </c>
      <c r="U52" s="208">
        <v>7616.666666666667</v>
      </c>
      <c r="V52" s="207">
        <v>7920</v>
      </c>
    </row>
    <row r="53" ht="12.9">
      <c r="A53" s="198">
        <v>48</v>
      </c>
      <c r="B53" s="77" t="s">
        <v>199</v>
      </c>
      <c r="C53" s="199" t="s">
        <v>39</v>
      </c>
      <c r="D53" s="200">
        <f t="shared" si="47"/>
        <v>7340.6339999999991</v>
      </c>
      <c r="E53" s="200">
        <f>SUMIF('Объемы работ 2026'!$C$2:$C$152,B53,'Объемы работ 2026'!$G$2:$G$152)</f>
        <v>1</v>
      </c>
      <c r="F53" s="201">
        <f>D53*E53</f>
        <v>7340.6339999999991</v>
      </c>
      <c r="G53" s="200" t="s">
        <v>46</v>
      </c>
      <c r="H53" s="200">
        <f t="shared" si="41"/>
        <v>8678.3333333333339</v>
      </c>
      <c r="I53" s="200">
        <v>10414</v>
      </c>
      <c r="J53" s="202"/>
      <c r="K53" s="202"/>
      <c r="L53" s="202">
        <f>V53</f>
        <v>7038</v>
      </c>
      <c r="M53" s="202">
        <f t="shared" si="48"/>
        <v>7340.6339999999991</v>
      </c>
      <c r="T53" s="207">
        <v>8590.8333333333339</v>
      </c>
      <c r="U53" s="207">
        <v>12525</v>
      </c>
      <c r="V53" s="208">
        <v>7038</v>
      </c>
    </row>
    <row r="54" ht="12.9">
      <c r="A54" s="198">
        <v>49</v>
      </c>
      <c r="B54" s="77" t="s">
        <v>229</v>
      </c>
      <c r="C54" s="199" t="s">
        <v>39</v>
      </c>
      <c r="D54" s="200">
        <f t="shared" si="47"/>
        <v>21068.599999999999</v>
      </c>
      <c r="E54" s="200">
        <f>SUMIF('Объемы работ 2026'!$C$2:$C$152,B54,'Объемы работ 2026'!$G$2:$G$152)</f>
        <v>2</v>
      </c>
      <c r="F54" s="201">
        <f t="shared" si="36"/>
        <v>42137.199999999997</v>
      </c>
      <c r="G54" s="200" t="s">
        <v>94</v>
      </c>
      <c r="H54" s="200">
        <f t="shared" si="41"/>
        <v>34647.5</v>
      </c>
      <c r="I54" s="200">
        <v>41577</v>
      </c>
      <c r="J54" s="202"/>
      <c r="K54" s="202"/>
      <c r="L54" s="202">
        <f>U54</f>
        <v>20200</v>
      </c>
      <c r="M54" s="202">
        <f t="shared" si="48"/>
        <v>21068.599999999999</v>
      </c>
      <c r="T54" s="207">
        <v>34089.166666666672</v>
      </c>
      <c r="U54" s="208">
        <v>20200</v>
      </c>
      <c r="V54" s="207">
        <v>26488</v>
      </c>
    </row>
    <row r="55" ht="12.9">
      <c r="A55" s="198">
        <v>50</v>
      </c>
      <c r="B55" s="77" t="s">
        <v>200</v>
      </c>
      <c r="C55" s="199" t="s">
        <v>39</v>
      </c>
      <c r="D55" s="200">
        <f t="shared" si="47"/>
        <v>16226.993999999999</v>
      </c>
      <c r="E55" s="200">
        <f>SUMIF('Объемы работ 2026'!$C$2:$C$152,B55,'Объемы работ 2026'!$G$2:$G$152)</f>
        <v>1</v>
      </c>
      <c r="F55" s="201">
        <f t="shared" si="36"/>
        <v>16226.993999999999</v>
      </c>
      <c r="G55" s="200" t="s">
        <v>94</v>
      </c>
      <c r="H55" s="200">
        <f t="shared" si="41"/>
        <v>19602.5</v>
      </c>
      <c r="I55" s="200">
        <v>23523</v>
      </c>
      <c r="J55" s="202"/>
      <c r="K55" s="202"/>
      <c r="L55" s="202">
        <f t="shared" ref="L55:L58" si="50">V55</f>
        <v>15558</v>
      </c>
      <c r="M55" s="202">
        <f t="shared" si="48"/>
        <v>16226.993999999999</v>
      </c>
      <c r="T55" s="207">
        <v>19270.833333333336</v>
      </c>
      <c r="U55" s="207">
        <v>16083.333333333334</v>
      </c>
      <c r="V55" s="208">
        <v>15558</v>
      </c>
    </row>
    <row r="56" ht="12.9">
      <c r="A56" s="198">
        <v>51</v>
      </c>
      <c r="B56" s="77" t="s">
        <v>202</v>
      </c>
      <c r="C56" s="199" t="s">
        <v>39</v>
      </c>
      <c r="D56" s="200">
        <f t="shared" si="47"/>
        <v>11747.308999999999</v>
      </c>
      <c r="E56" s="200">
        <f>SUMIF('Объемы работ 2026'!$C$2:$C$152,B56,'Объемы работ 2026'!$G$2:$G$152)</f>
        <v>1</v>
      </c>
      <c r="F56" s="201">
        <f t="shared" si="36"/>
        <v>11747.308999999999</v>
      </c>
      <c r="G56" s="200" t="s">
        <v>94</v>
      </c>
      <c r="H56" s="200">
        <f t="shared" si="41"/>
        <v>14813.333333333334</v>
      </c>
      <c r="I56" s="200">
        <v>17776</v>
      </c>
      <c r="J56" s="202"/>
      <c r="K56" s="202"/>
      <c r="L56" s="202">
        <f t="shared" si="50"/>
        <v>11263</v>
      </c>
      <c r="M56" s="202">
        <f t="shared" si="48"/>
        <v>11747.308999999999</v>
      </c>
      <c r="T56" s="207">
        <v>14567.5</v>
      </c>
      <c r="U56" s="207">
        <v>19116.666666666668</v>
      </c>
      <c r="V56" s="208">
        <v>11263</v>
      </c>
    </row>
    <row r="57" ht="12.9">
      <c r="A57" s="198">
        <v>51</v>
      </c>
      <c r="B57" s="77" t="s">
        <v>203</v>
      </c>
      <c r="C57" s="199" t="s">
        <v>39</v>
      </c>
      <c r="D57" s="200">
        <f t="shared" si="47"/>
        <v>10645.901</v>
      </c>
      <c r="E57" s="200">
        <f>SUMIF('Объемы работ 2026'!$C$2:$C$152,B57,'Объемы работ 2026'!$G$2:$G$152)</f>
        <v>1</v>
      </c>
      <c r="F57" s="201">
        <f t="shared" ref="F57:F58" si="51">D57*E57</f>
        <v>10645.901</v>
      </c>
      <c r="G57" s="200" t="s">
        <v>94</v>
      </c>
      <c r="H57" s="200">
        <f t="shared" si="41"/>
        <v>15995.833333333334</v>
      </c>
      <c r="I57" s="200">
        <v>19195</v>
      </c>
      <c r="J57" s="202"/>
      <c r="K57" s="202"/>
      <c r="L57" s="202">
        <f t="shared" si="50"/>
        <v>10207</v>
      </c>
      <c r="M57" s="202">
        <f t="shared" si="48"/>
        <v>10645.901</v>
      </c>
      <c r="T57" s="207">
        <v>15849.166666666668</v>
      </c>
      <c r="U57" s="207">
        <v>18733.333333333336</v>
      </c>
      <c r="V57" s="208">
        <v>10207</v>
      </c>
    </row>
    <row r="58" ht="12.9">
      <c r="A58" s="198">
        <v>51</v>
      </c>
      <c r="B58" s="77" t="s">
        <v>204</v>
      </c>
      <c r="C58" s="199" t="s">
        <v>39</v>
      </c>
      <c r="D58" s="200">
        <f t="shared" si="47"/>
        <v>9648.7929999999997</v>
      </c>
      <c r="E58" s="200">
        <f>SUMIF('Объемы работ 2026'!$C$2:$C$152,B58,'Объемы работ 2026'!$G$2:$G$152)</f>
        <v>1</v>
      </c>
      <c r="F58" s="201">
        <f t="shared" si="51"/>
        <v>9648.7929999999997</v>
      </c>
      <c r="G58" s="200" t="s">
        <v>94</v>
      </c>
      <c r="H58" s="200">
        <f t="shared" si="41"/>
        <v>881.66666666666674</v>
      </c>
      <c r="I58" s="200">
        <v>1058</v>
      </c>
      <c r="J58" s="202"/>
      <c r="K58" s="202"/>
      <c r="L58" s="202">
        <f t="shared" si="50"/>
        <v>9251</v>
      </c>
      <c r="M58" s="202">
        <f t="shared" si="48"/>
        <v>9648.7929999999997</v>
      </c>
      <c r="T58" s="207">
        <v>14355.833333333334</v>
      </c>
      <c r="U58" s="207">
        <v>19150</v>
      </c>
      <c r="V58" s="208">
        <v>9251</v>
      </c>
    </row>
    <row r="59" ht="12.9">
      <c r="A59" s="198">
        <v>53</v>
      </c>
      <c r="B59" s="77" t="s">
        <v>231</v>
      </c>
      <c r="C59" s="199" t="s">
        <v>39</v>
      </c>
      <c r="D59" s="200">
        <f t="shared" si="47"/>
        <v>2346.0282439999996</v>
      </c>
      <c r="E59" s="200">
        <f>SUMIF('Объемы работ 2026'!$C$2:$C$152,B59,'Объемы работ 2026'!$G$2:$G$152)</f>
        <v>157</v>
      </c>
      <c r="F59" s="201">
        <f t="shared" si="36"/>
        <v>368326.43430799997</v>
      </c>
      <c r="G59" s="200" t="s">
        <v>58</v>
      </c>
      <c r="H59" s="200">
        <f t="shared" si="41"/>
        <v>1645</v>
      </c>
      <c r="I59" s="200">
        <v>1974</v>
      </c>
      <c r="J59" s="202"/>
      <c r="K59" s="200">
        <v>2126</v>
      </c>
      <c r="L59" s="202"/>
      <c r="M59" s="202">
        <f>K59*1.058*1.043</f>
        <v>2346.0282439999996</v>
      </c>
    </row>
    <row r="60" ht="12.9">
      <c r="A60" s="198">
        <v>54</v>
      </c>
      <c r="B60" s="77" t="s">
        <v>213</v>
      </c>
      <c r="C60" s="199" t="s">
        <v>39</v>
      </c>
      <c r="D60" s="200">
        <f t="shared" si="47"/>
        <v>1397.6199999999999</v>
      </c>
      <c r="E60" s="200">
        <f>SUMIF('Объемы работ 2026'!$C$2:$C$152,B60,'Объемы работ 2026'!$G$2:$G$152)</f>
        <v>18</v>
      </c>
      <c r="F60" s="201">
        <f t="shared" si="36"/>
        <v>25157.159999999996</v>
      </c>
      <c r="G60" s="200" t="s">
        <v>58</v>
      </c>
      <c r="H60" s="200">
        <f t="shared" si="41"/>
        <v>1340</v>
      </c>
      <c r="I60" s="200">
        <v>1608</v>
      </c>
      <c r="J60" s="202"/>
      <c r="K60" s="202"/>
      <c r="L60" s="202">
        <v>1340</v>
      </c>
      <c r="M60" s="202">
        <f t="shared" ref="M60:M64" si="52">L60*1.043</f>
        <v>1397.6199999999999</v>
      </c>
    </row>
    <row r="61" ht="12.9">
      <c r="A61" s="198">
        <v>55</v>
      </c>
      <c r="B61" s="77" t="s">
        <v>150</v>
      </c>
      <c r="C61" s="199" t="s">
        <v>39</v>
      </c>
      <c r="D61" s="200">
        <f t="shared" si="47"/>
        <v>1283.7591666666667</v>
      </c>
      <c r="E61" s="200">
        <f>SUMIF('Объемы работ 2026'!$C$2:$C$152,B61,'Объемы работ 2026'!$G$2:$G$152)</f>
        <v>20</v>
      </c>
      <c r="F61" s="201">
        <f t="shared" si="36"/>
        <v>25675.183333333334</v>
      </c>
      <c r="G61" s="200" t="s">
        <v>58</v>
      </c>
      <c r="H61" s="200">
        <f t="shared" si="41"/>
        <v>1230.8333333333335</v>
      </c>
      <c r="I61" s="200">
        <v>1477</v>
      </c>
      <c r="J61" s="202"/>
      <c r="K61" s="202"/>
      <c r="L61" s="202">
        <v>1230.8333333333335</v>
      </c>
      <c r="M61" s="202">
        <f t="shared" si="52"/>
        <v>1283.7591666666667</v>
      </c>
    </row>
    <row r="62" ht="12.9">
      <c r="A62" s="198">
        <v>56</v>
      </c>
      <c r="B62" s="77" t="s">
        <v>152</v>
      </c>
      <c r="C62" s="199" t="s">
        <v>39</v>
      </c>
      <c r="D62" s="200">
        <f t="shared" si="47"/>
        <v>1095.1499999999999</v>
      </c>
      <c r="E62" s="200">
        <f>SUMIF('Объемы работ 2026'!$C$2:$C$152,B62,'Объемы работ 2026'!$G$2:$G$152)</f>
        <v>34</v>
      </c>
      <c r="F62" s="201">
        <f t="shared" si="36"/>
        <v>37235.099999999999</v>
      </c>
      <c r="G62" s="200" t="s">
        <v>58</v>
      </c>
      <c r="H62" s="200">
        <f t="shared" si="41"/>
        <v>1050</v>
      </c>
      <c r="I62" s="200">
        <v>1260</v>
      </c>
      <c r="J62" s="202"/>
      <c r="K62" s="202"/>
      <c r="L62" s="202">
        <v>1050</v>
      </c>
      <c r="M62" s="202">
        <f t="shared" si="52"/>
        <v>1095.1499999999999</v>
      </c>
    </row>
    <row r="63" ht="12.9">
      <c r="A63" s="198">
        <v>57</v>
      </c>
      <c r="B63" s="77" t="s">
        <v>153</v>
      </c>
      <c r="C63" s="199" t="s">
        <v>39</v>
      </c>
      <c r="D63" s="200">
        <f t="shared" si="47"/>
        <v>822.23166666666668</v>
      </c>
      <c r="E63" s="200">
        <f>SUMIF('Объемы работ 2026'!$C$2:$C$152,B63,'Объемы работ 2026'!$G$2:$G$152)</f>
        <v>12</v>
      </c>
      <c r="F63" s="201">
        <f t="shared" si="36"/>
        <v>9866.7800000000007</v>
      </c>
      <c r="G63" s="200" t="s">
        <v>58</v>
      </c>
      <c r="H63" s="200">
        <f t="shared" si="41"/>
        <v>788.33333333333337</v>
      </c>
      <c r="I63" s="200">
        <v>946</v>
      </c>
      <c r="J63" s="202"/>
      <c r="K63" s="202"/>
      <c r="L63" s="202">
        <v>788.33333333333337</v>
      </c>
      <c r="M63" s="202">
        <f t="shared" si="52"/>
        <v>822.23166666666668</v>
      </c>
    </row>
    <row r="64" ht="12.9">
      <c r="A64" s="198">
        <v>58</v>
      </c>
      <c r="B64" s="77" t="s">
        <v>239</v>
      </c>
      <c r="C64" s="199" t="s">
        <v>39</v>
      </c>
      <c r="D64" s="200">
        <f t="shared" si="47"/>
        <v>727.49249999999995</v>
      </c>
      <c r="E64" s="200">
        <f>SUMIF('Объемы работ 2026'!$C$2:$C$152,B64,'Объемы работ 2026'!$G$2:$G$152)</f>
        <v>28</v>
      </c>
      <c r="F64" s="201">
        <f t="shared" si="36"/>
        <v>20369.789999999997</v>
      </c>
      <c r="G64" s="200" t="s">
        <v>58</v>
      </c>
      <c r="H64" s="200">
        <f t="shared" si="41"/>
        <v>697.5</v>
      </c>
      <c r="I64" s="200">
        <v>837</v>
      </c>
      <c r="J64" s="202"/>
      <c r="K64" s="202"/>
      <c r="L64" s="202">
        <v>697.5</v>
      </c>
      <c r="M64" s="202">
        <f t="shared" si="52"/>
        <v>727.49249999999995</v>
      </c>
    </row>
    <row r="65" ht="12.9">
      <c r="A65" s="198">
        <v>59</v>
      </c>
      <c r="B65" s="77" t="s">
        <v>214</v>
      </c>
      <c r="C65" s="199" t="s">
        <v>39</v>
      </c>
      <c r="D65" s="200">
        <f t="shared" si="47"/>
        <v>1595.6523240000001</v>
      </c>
      <c r="E65" s="200">
        <f>SUMIF('Объемы работ 2026'!$C$2:$C$152,B65,'Объемы работ 2026'!$G$2:$G$152)</f>
        <v>12</v>
      </c>
      <c r="F65" s="201">
        <f t="shared" si="36"/>
        <v>19147.827888</v>
      </c>
      <c r="G65" s="200" t="s">
        <v>58</v>
      </c>
      <c r="H65" s="200">
        <f t="shared" si="41"/>
        <v>881.66666666666674</v>
      </c>
      <c r="I65" s="200">
        <v>1058</v>
      </c>
      <c r="J65" s="202"/>
      <c r="K65" s="200">
        <v>1446</v>
      </c>
      <c r="L65" s="202"/>
      <c r="M65" s="202">
        <f t="shared" ref="M65:M70" si="53">K65*1.058*1.043</f>
        <v>1595.6523240000001</v>
      </c>
    </row>
    <row r="66" ht="12.9">
      <c r="A66" s="198">
        <v>60</v>
      </c>
      <c r="B66" s="77" t="s">
        <v>215</v>
      </c>
      <c r="C66" s="199" t="s">
        <v>39</v>
      </c>
      <c r="D66" s="200">
        <f t="shared" si="47"/>
        <v>1595.6523240000001</v>
      </c>
      <c r="E66" s="200">
        <f>SUMIF('Объемы работ 2026'!$C$2:$C$152,B66,'Объемы работ 2026'!$G$2:$G$152)</f>
        <v>50</v>
      </c>
      <c r="F66" s="201">
        <f t="shared" ref="F66:F92" si="54">D66*E66</f>
        <v>79782.616200000004</v>
      </c>
      <c r="G66" s="200" t="s">
        <v>58</v>
      </c>
      <c r="H66" s="200">
        <f t="shared" si="41"/>
        <v>631.66666666666674</v>
      </c>
      <c r="I66" s="200">
        <v>758</v>
      </c>
      <c r="J66" s="202"/>
      <c r="K66" s="200">
        <v>1446</v>
      </c>
      <c r="L66" s="202"/>
      <c r="M66" s="202">
        <f t="shared" si="53"/>
        <v>1595.6523240000001</v>
      </c>
    </row>
    <row r="67" ht="12.9">
      <c r="A67" s="198">
        <v>61</v>
      </c>
      <c r="B67" s="77" t="s">
        <v>216</v>
      </c>
      <c r="C67" s="199" t="s">
        <v>39</v>
      </c>
      <c r="D67" s="200">
        <f t="shared" si="47"/>
        <v>1614.4117219999998</v>
      </c>
      <c r="E67" s="200">
        <f>SUMIF('Объемы работ 2026'!$C$2:$C$152,B67,'Объемы работ 2026'!$G$2:$G$152)</f>
        <v>18</v>
      </c>
      <c r="F67" s="201">
        <f t="shared" si="54"/>
        <v>29059.410995999999</v>
      </c>
      <c r="G67" s="200" t="s">
        <v>58</v>
      </c>
      <c r="H67" s="200">
        <f t="shared" si="41"/>
        <v>805.83333333333337</v>
      </c>
      <c r="I67" s="200">
        <v>967</v>
      </c>
      <c r="J67" s="202"/>
      <c r="K67" s="200">
        <v>1463</v>
      </c>
      <c r="L67" s="202"/>
      <c r="M67" s="202">
        <f t="shared" si="53"/>
        <v>1614.4117219999998</v>
      </c>
    </row>
    <row r="68" ht="12.9">
      <c r="A68" s="198">
        <v>62</v>
      </c>
      <c r="B68" s="77" t="s">
        <v>217</v>
      </c>
      <c r="C68" s="199" t="s">
        <v>39</v>
      </c>
      <c r="D68" s="200">
        <f t="shared" si="47"/>
        <v>1554.823046</v>
      </c>
      <c r="E68" s="200">
        <f>SUMIF('Объемы работ 2026'!$C$2:$C$152,B68,'Объемы работ 2026'!$G$2:$G$152)</f>
        <v>51</v>
      </c>
      <c r="F68" s="201">
        <f t="shared" si="54"/>
        <v>79295.975345999992</v>
      </c>
      <c r="G68" s="200" t="s">
        <v>58</v>
      </c>
      <c r="H68" s="200">
        <f t="shared" si="41"/>
        <v>547.5</v>
      </c>
      <c r="I68" s="200">
        <v>657</v>
      </c>
      <c r="J68" s="202"/>
      <c r="K68" s="200">
        <v>1409</v>
      </c>
      <c r="L68" s="202"/>
      <c r="M68" s="202">
        <f t="shared" si="53"/>
        <v>1554.823046</v>
      </c>
    </row>
    <row r="69" ht="12.9">
      <c r="A69" s="198">
        <v>63</v>
      </c>
      <c r="B69" s="77" t="s">
        <v>218</v>
      </c>
      <c r="C69" s="199" t="s">
        <v>39</v>
      </c>
      <c r="D69" s="200">
        <f t="shared" si="47"/>
        <v>1634.2746139999999</v>
      </c>
      <c r="E69" s="200">
        <f>SUMIF('Объемы работ 2026'!$C$2:$C$152,B69,'Объемы работ 2026'!$G$2:$G$152)</f>
        <v>8</v>
      </c>
      <c r="F69" s="201">
        <f t="shared" si="54"/>
        <v>13074.196911999999</v>
      </c>
      <c r="G69" s="200" t="s">
        <v>58</v>
      </c>
      <c r="H69" s="200">
        <f t="shared" si="41"/>
        <v>561.66666666666674</v>
      </c>
      <c r="I69" s="200">
        <v>674</v>
      </c>
      <c r="J69" s="202"/>
      <c r="K69" s="200">
        <v>1481</v>
      </c>
      <c r="L69" s="202"/>
      <c r="M69" s="202">
        <f t="shared" si="53"/>
        <v>1634.2746139999999</v>
      </c>
    </row>
    <row r="70" ht="12.9">
      <c r="A70" s="198">
        <v>68</v>
      </c>
      <c r="B70" s="209" t="s">
        <v>230</v>
      </c>
      <c r="C70" s="199" t="s">
        <v>39</v>
      </c>
      <c r="D70" s="200">
        <f t="shared" si="47"/>
        <v>81290.717310039996</v>
      </c>
      <c r="E70" s="200">
        <f>SUMIF('Объемы работ 2026'!$C$2:$C$152,B70,'Объемы работ 2026'!$G$2:$G$152)</f>
        <v>2</v>
      </c>
      <c r="F70" s="201">
        <f t="shared" si="54"/>
        <v>162581.43462007999</v>
      </c>
      <c r="G70" s="200" t="s">
        <v>110</v>
      </c>
      <c r="H70" s="200">
        <v>229414</v>
      </c>
      <c r="I70" s="200"/>
      <c r="J70" s="202"/>
      <c r="K70" s="202">
        <v>73666.660000000003</v>
      </c>
      <c r="L70" s="202"/>
      <c r="M70" s="202">
        <f t="shared" si="53"/>
        <v>81290.717310039996</v>
      </c>
    </row>
    <row r="71" ht="12.9">
      <c r="A71" s="198">
        <v>69</v>
      </c>
      <c r="B71" s="209" t="s">
        <v>133</v>
      </c>
      <c r="C71" s="199" t="s">
        <v>39</v>
      </c>
      <c r="D71" s="200">
        <f t="shared" si="47"/>
        <v>9101.0441666666666</v>
      </c>
      <c r="E71" s="200">
        <f>SUMIF('Объемы работ 2026'!$C$2:$C$152,B71,'Объемы работ 2026'!$G$2:$G$152)</f>
        <v>4</v>
      </c>
      <c r="F71" s="201">
        <f t="shared" si="54"/>
        <v>36404.176666666666</v>
      </c>
      <c r="G71" s="200" t="s">
        <v>110</v>
      </c>
      <c r="H71" s="200">
        <v>49358.400000000001</v>
      </c>
      <c r="I71" s="200"/>
      <c r="J71" s="202"/>
      <c r="K71" s="202"/>
      <c r="L71" s="202">
        <f>10471/1.2</f>
        <v>8725.8333333333339</v>
      </c>
      <c r="M71" s="202">
        <f t="shared" ref="M71:M72" si="55">L71*1.043</f>
        <v>9101.0441666666666</v>
      </c>
    </row>
    <row r="72" ht="12.9">
      <c r="A72" s="198">
        <v>69</v>
      </c>
      <c r="B72" s="209" t="s">
        <v>134</v>
      </c>
      <c r="C72" s="199" t="s">
        <v>39</v>
      </c>
      <c r="D72" s="200">
        <f t="shared" si="47"/>
        <v>7867.6966666666667</v>
      </c>
      <c r="E72" s="200">
        <f>SUMIF('Объемы работ 2026'!$C$2:$C$152,B72,'Объемы работ 2026'!$G$2:$G$152)</f>
        <v>2</v>
      </c>
      <c r="F72" s="201">
        <f t="shared" si="54"/>
        <v>15735.393333333333</v>
      </c>
      <c r="G72" s="200" t="s">
        <v>110</v>
      </c>
      <c r="H72" s="200">
        <v>31546.400000000001</v>
      </c>
      <c r="I72" s="200"/>
      <c r="J72" s="202"/>
      <c r="K72" s="202"/>
      <c r="L72" s="202">
        <f>9052/1.2</f>
        <v>7543.3333333333339</v>
      </c>
      <c r="M72" s="202">
        <f t="shared" si="55"/>
        <v>7867.6966666666667</v>
      </c>
    </row>
    <row r="73" ht="12.9">
      <c r="A73" s="198">
        <v>69</v>
      </c>
      <c r="B73" s="209" t="s">
        <v>135</v>
      </c>
      <c r="C73" s="199" t="s">
        <v>39</v>
      </c>
      <c r="D73" s="200">
        <f t="shared" si="47"/>
        <v>14069.548499999999</v>
      </c>
      <c r="E73" s="200">
        <f>SUMIF('Объемы работ 2026'!$C$2:$C$152,B73,'Объемы работ 2026'!$G$2:$G$152)</f>
        <v>2</v>
      </c>
      <c r="F73" s="201">
        <f t="shared" si="54"/>
        <v>28139.096999999998</v>
      </c>
      <c r="G73" s="200" t="s">
        <v>110</v>
      </c>
      <c r="H73" s="200">
        <v>7010</v>
      </c>
      <c r="I73" s="200"/>
      <c r="J73" s="202"/>
      <c r="K73" s="202">
        <v>12750</v>
      </c>
      <c r="L73" s="202"/>
      <c r="M73" s="202">
        <f t="shared" ref="M73:M77" si="56">K73*1.058*1.043</f>
        <v>14069.548499999999</v>
      </c>
    </row>
    <row r="74" ht="12.9">
      <c r="A74" s="198">
        <v>70</v>
      </c>
      <c r="B74" s="209" t="s">
        <v>238</v>
      </c>
      <c r="C74" s="199" t="s">
        <v>39</v>
      </c>
      <c r="D74" s="200">
        <f t="shared" si="47"/>
        <v>6409.4573050199997</v>
      </c>
      <c r="E74" s="200">
        <f>SUMIF('Объемы работ 2026'!$C$2:$C$152,B74,'Объемы работ 2026'!$G$2:$G$152)</f>
        <v>2</v>
      </c>
      <c r="F74" s="201">
        <f t="shared" si="54"/>
        <v>12818.914610039999</v>
      </c>
      <c r="G74" s="200" t="s">
        <v>110</v>
      </c>
      <c r="H74" s="200">
        <v>12019.200000000001</v>
      </c>
      <c r="I74" s="200"/>
      <c r="J74" s="202"/>
      <c r="K74" s="202">
        <v>5808.3299999999999</v>
      </c>
      <c r="L74" s="202"/>
      <c r="M74" s="202">
        <f t="shared" si="56"/>
        <v>6409.4573050199997</v>
      </c>
    </row>
    <row r="75" ht="12.9">
      <c r="A75" s="198">
        <v>71</v>
      </c>
      <c r="B75" s="209" t="s">
        <v>205</v>
      </c>
      <c r="C75" s="199" t="s">
        <v>39</v>
      </c>
      <c r="D75" s="200">
        <f t="shared" si="47"/>
        <v>5158.8344500000003</v>
      </c>
      <c r="E75" s="200">
        <f>SUMIF('Объемы работ 2026'!$C$2:$C$152,B75,'Объемы работ 2026'!$G$2:$G$152)</f>
        <v>4</v>
      </c>
      <c r="F75" s="201">
        <f t="shared" si="54"/>
        <v>20635.337800000001</v>
      </c>
      <c r="G75" s="200" t="s">
        <v>110</v>
      </c>
      <c r="H75" s="200">
        <v>9600</v>
      </c>
      <c r="I75" s="200"/>
      <c r="J75" s="202"/>
      <c r="K75" s="202">
        <v>4675</v>
      </c>
      <c r="L75" s="202"/>
      <c r="M75" s="202">
        <f t="shared" si="56"/>
        <v>5158.8344500000003</v>
      </c>
    </row>
    <row r="76" ht="12.9">
      <c r="A76" s="198">
        <v>72</v>
      </c>
      <c r="B76" s="209" t="s">
        <v>206</v>
      </c>
      <c r="C76" s="199" t="s">
        <v>39</v>
      </c>
      <c r="D76" s="200">
        <f t="shared" si="47"/>
        <v>4064.53255502</v>
      </c>
      <c r="E76" s="200">
        <f>SUMIF('Объемы работ 2026'!$C$2:$C$152,B76,'Объемы работ 2026'!$G$2:$G$152)</f>
        <v>4</v>
      </c>
      <c r="F76" s="201">
        <f t="shared" si="54"/>
        <v>16258.13022008</v>
      </c>
      <c r="G76" s="200" t="s">
        <v>110</v>
      </c>
      <c r="H76" s="200">
        <v>5293.3000000000002</v>
      </c>
      <c r="I76" s="200"/>
      <c r="J76" s="202"/>
      <c r="K76" s="202">
        <v>3683.3299999999999</v>
      </c>
      <c r="L76" s="202"/>
      <c r="M76" s="202">
        <f t="shared" si="56"/>
        <v>4064.53255502</v>
      </c>
    </row>
    <row r="77" ht="12.9">
      <c r="A77" s="198">
        <v>73</v>
      </c>
      <c r="B77" s="209" t="s">
        <v>207</v>
      </c>
      <c r="C77" s="199" t="s">
        <v>39</v>
      </c>
      <c r="D77" s="200">
        <f t="shared" si="47"/>
        <v>2970.2306600399997</v>
      </c>
      <c r="E77" s="200">
        <f>SUMIF('Объемы работ 2026'!$C$2:$C$152,B77,'Объемы работ 2026'!$G$2:$G$152)</f>
        <v>2</v>
      </c>
      <c r="F77" s="201">
        <f t="shared" si="54"/>
        <v>5940.4613200799995</v>
      </c>
      <c r="G77" s="200" t="s">
        <v>110</v>
      </c>
      <c r="H77" s="200">
        <v>8226.1000000000004</v>
      </c>
      <c r="I77" s="200"/>
      <c r="J77" s="202"/>
      <c r="K77" s="202">
        <v>2691.6599999999999</v>
      </c>
      <c r="L77" s="202"/>
      <c r="M77" s="202">
        <f t="shared" si="56"/>
        <v>2970.2306600399997</v>
      </c>
    </row>
    <row r="78" ht="12.9">
      <c r="A78" s="198">
        <v>73</v>
      </c>
      <c r="B78" s="209" t="s">
        <v>208</v>
      </c>
      <c r="C78" s="199" t="s">
        <v>39</v>
      </c>
      <c r="D78" s="200">
        <f t="shared" si="47"/>
        <v>1084.72</v>
      </c>
      <c r="E78" s="200">
        <f>SUMIF('Объемы работ 2026'!$C$2:$C$152,B78,'Объемы работ 2026'!$G$2:$G$152)</f>
        <v>2</v>
      </c>
      <c r="F78" s="201">
        <f t="shared" si="54"/>
        <v>2169.4400000000001</v>
      </c>
      <c r="G78" s="200" t="s">
        <v>110</v>
      </c>
      <c r="H78" s="200">
        <v>6043.1000000000004</v>
      </c>
      <c r="I78" s="200"/>
      <c r="J78" s="202"/>
      <c r="K78" s="202"/>
      <c r="L78" s="202">
        <f>1248/1.2</f>
        <v>1040</v>
      </c>
      <c r="M78" s="202">
        <f t="shared" ref="M78:M79" si="57">L78*1.043</f>
        <v>1084.72</v>
      </c>
    </row>
    <row r="79" ht="12.9">
      <c r="A79" s="198">
        <v>73</v>
      </c>
      <c r="B79" s="209" t="s">
        <v>209</v>
      </c>
      <c r="C79" s="199" t="s">
        <v>39</v>
      </c>
      <c r="D79" s="200">
        <f t="shared" si="47"/>
        <v>1021.2708333333334</v>
      </c>
      <c r="E79" s="200">
        <f>SUMIF('Объемы работ 2026'!$C$2:$C$152,B79,'Объемы работ 2026'!$G$2:$G$152)</f>
        <v>4</v>
      </c>
      <c r="F79" s="201">
        <f t="shared" si="54"/>
        <v>4085.0833333333335</v>
      </c>
      <c r="G79" s="200" t="s">
        <v>110</v>
      </c>
      <c r="H79" s="200">
        <v>4033.1999999999998</v>
      </c>
      <c r="I79" s="200"/>
      <c r="J79" s="202"/>
      <c r="K79" s="202"/>
      <c r="L79" s="202">
        <f>1175/1.2</f>
        <v>979.16666666666674</v>
      </c>
      <c r="M79" s="202">
        <f t="shared" si="57"/>
        <v>1021.2708333333334</v>
      </c>
    </row>
    <row r="80" ht="25.850000000000001">
      <c r="A80" s="198">
        <v>74</v>
      </c>
      <c r="B80" s="209" t="s">
        <v>155</v>
      </c>
      <c r="C80" s="199" t="s">
        <v>156</v>
      </c>
      <c r="D80" s="200">
        <f t="shared" si="47"/>
        <v>2628.2046254200395</v>
      </c>
      <c r="E80" s="200">
        <f>SUMIF('Объемы работ 2026'!$C$2:$C$152,B80,'Объемы работ 2026'!$G$2:$G$152)</f>
        <v>163.5</v>
      </c>
      <c r="F80" s="201">
        <f t="shared" si="54"/>
        <v>429711.45625617646</v>
      </c>
      <c r="G80" s="210" t="s">
        <v>155</v>
      </c>
      <c r="H80" s="210">
        <v>8704.1700000000001</v>
      </c>
      <c r="I80" s="210"/>
      <c r="J80" s="202">
        <f>783271.2/353.5</f>
        <v>2215.7601131541724</v>
      </c>
      <c r="K80" s="202"/>
      <c r="L80" s="202"/>
      <c r="M80" s="202">
        <f>J80*1.08*1.053*1.043</f>
        <v>2628.2046254200395</v>
      </c>
    </row>
    <row r="81" ht="12.9">
      <c r="A81" s="198">
        <v>75</v>
      </c>
      <c r="B81" s="211" t="s">
        <v>136</v>
      </c>
      <c r="C81" s="212" t="s">
        <v>138</v>
      </c>
      <c r="D81" s="200">
        <f t="shared" si="47"/>
        <v>1121.1499040000001</v>
      </c>
      <c r="E81" s="200">
        <f>SUMIF('Объемы работ 2026'!$C$2:$C$152,B81,'Объемы работ 2026'!$G$2:$G$152)</f>
        <v>46</v>
      </c>
      <c r="F81" s="201">
        <f t="shared" si="54"/>
        <v>51572.895584000005</v>
      </c>
      <c r="G81" s="200" t="s">
        <v>107</v>
      </c>
      <c r="H81" s="200">
        <v>1016</v>
      </c>
      <c r="I81" s="200"/>
      <c r="J81" s="202"/>
      <c r="K81" s="202">
        <v>1016</v>
      </c>
      <c r="L81" s="202"/>
      <c r="M81" s="202">
        <f t="shared" ref="M81:M86" si="58">K81*1.058*1.043</f>
        <v>1121.1499040000001</v>
      </c>
    </row>
    <row r="82" ht="12.9">
      <c r="A82" s="198">
        <v>76</v>
      </c>
      <c r="B82" s="211" t="s">
        <v>139</v>
      </c>
      <c r="C82" s="212" t="s">
        <v>141</v>
      </c>
      <c r="D82" s="200">
        <f t="shared" si="47"/>
        <v>2990.4687400000003</v>
      </c>
      <c r="E82" s="200">
        <f>SUMIF('Объемы работ 2026'!$C$2:$C$152,B82,'Объемы работ 2026'!$G$2:$G$152)</f>
        <v>16</v>
      </c>
      <c r="F82" s="201">
        <f t="shared" si="54"/>
        <v>47847.499840000004</v>
      </c>
      <c r="G82" s="200" t="s">
        <v>107</v>
      </c>
      <c r="H82" s="200">
        <v>2710</v>
      </c>
      <c r="I82" s="200"/>
      <c r="J82" s="202"/>
      <c r="K82" s="202">
        <v>2710</v>
      </c>
      <c r="L82" s="202"/>
      <c r="M82" s="202">
        <f t="shared" si="58"/>
        <v>2990.4687400000003</v>
      </c>
    </row>
    <row r="83" ht="12.9">
      <c r="A83" s="198">
        <v>77</v>
      </c>
      <c r="B83" s="209" t="s">
        <v>142</v>
      </c>
      <c r="C83" s="199" t="s">
        <v>76</v>
      </c>
      <c r="D83" s="200">
        <f t="shared" si="47"/>
        <v>349.44344498000004</v>
      </c>
      <c r="E83" s="200">
        <f>SUMIF('Объемы работ 2026'!$C$2:$C$152,B83,'Объемы работ 2026'!$G$2:$G$152)</f>
        <v>407</v>
      </c>
      <c r="F83" s="201">
        <f t="shared" si="54"/>
        <v>142223.48210686003</v>
      </c>
      <c r="G83" s="200" t="s">
        <v>107</v>
      </c>
      <c r="H83" s="200">
        <v>316.67000000000002</v>
      </c>
      <c r="I83" s="200"/>
      <c r="J83" s="202"/>
      <c r="K83" s="202">
        <v>316.67000000000002</v>
      </c>
      <c r="L83" s="202"/>
      <c r="M83" s="202">
        <f t="shared" si="58"/>
        <v>349.44344498000004</v>
      </c>
    </row>
    <row r="84" ht="12.9">
      <c r="A84" s="198">
        <v>78</v>
      </c>
      <c r="B84" s="209" t="s">
        <v>143</v>
      </c>
      <c r="C84" s="199" t="s">
        <v>76</v>
      </c>
      <c r="D84" s="200">
        <f t="shared" si="47"/>
        <v>350.35934500000002</v>
      </c>
      <c r="E84" s="200">
        <f>SUMIF('Объемы работ 2026'!$C$2:$C$152,B84,'Объемы работ 2026'!$G$2:$G$152)</f>
        <v>391</v>
      </c>
      <c r="F84" s="201">
        <f t="shared" si="54"/>
        <v>136990.503895</v>
      </c>
      <c r="G84" s="200" t="s">
        <v>107</v>
      </c>
      <c r="H84" s="200">
        <v>317.5</v>
      </c>
      <c r="I84" s="200"/>
      <c r="J84" s="202"/>
      <c r="K84" s="202">
        <v>317.5</v>
      </c>
      <c r="L84" s="202"/>
      <c r="M84" s="202">
        <f t="shared" si="58"/>
        <v>350.35934500000002</v>
      </c>
    </row>
    <row r="85" ht="12.9">
      <c r="A85" s="198">
        <v>79</v>
      </c>
      <c r="B85" s="209" t="s">
        <v>144</v>
      </c>
      <c r="C85" s="199" t="s">
        <v>39</v>
      </c>
      <c r="D85" s="200">
        <f t="shared" si="47"/>
        <v>32.17788504</v>
      </c>
      <c r="E85" s="200">
        <f>SUMIF('Объемы работ 2026'!$C$2:$C$152,B85,'Объемы работ 2026'!$G$2:$G$152)</f>
        <v>1601</v>
      </c>
      <c r="F85" s="201">
        <f t="shared" si="54"/>
        <v>51516.793949040002</v>
      </c>
      <c r="G85" s="200" t="s">
        <v>107</v>
      </c>
      <c r="H85" s="200">
        <v>29.16</v>
      </c>
      <c r="I85" s="200"/>
      <c r="J85" s="202"/>
      <c r="K85" s="202">
        <v>29.16</v>
      </c>
      <c r="L85" s="202"/>
      <c r="M85" s="202">
        <f t="shared" si="58"/>
        <v>32.17788504</v>
      </c>
    </row>
    <row r="86" ht="12.9">
      <c r="A86" s="198">
        <v>80</v>
      </c>
      <c r="B86" s="211" t="s">
        <v>146</v>
      </c>
      <c r="C86" s="199" t="s">
        <v>39</v>
      </c>
      <c r="D86" s="200">
        <f t="shared" si="47"/>
        <v>105.75886496000001</v>
      </c>
      <c r="E86" s="200">
        <f>SUMIF('Объемы работ 2026'!$C$2:$C$152,B86,'Объемы работ 2026'!$G$2:$G$152)</f>
        <v>547</v>
      </c>
      <c r="F86" s="201">
        <f t="shared" si="54"/>
        <v>57850.099133120006</v>
      </c>
      <c r="G86" s="200" t="s">
        <v>107</v>
      </c>
      <c r="H86" s="200">
        <v>95.840000000000003</v>
      </c>
      <c r="I86" s="200"/>
      <c r="J86" s="202"/>
      <c r="K86" s="202">
        <v>95.840000000000003</v>
      </c>
      <c r="L86" s="202"/>
      <c r="M86" s="202">
        <f t="shared" si="58"/>
        <v>105.75886496000001</v>
      </c>
    </row>
    <row r="87" ht="12.9">
      <c r="A87" s="198">
        <v>81</v>
      </c>
      <c r="B87" s="209" t="s">
        <v>148</v>
      </c>
      <c r="C87" s="199" t="s">
        <v>39</v>
      </c>
      <c r="D87" s="200">
        <f t="shared" si="47"/>
        <v>62.579999999999998</v>
      </c>
      <c r="E87" s="200">
        <f>SUMIF('Объемы работ 2026'!$C$2:$C$152,B87,'Объемы работ 2026'!$G$2:$G$152)</f>
        <v>139</v>
      </c>
      <c r="F87" s="201">
        <f t="shared" si="54"/>
        <v>8698.619999999999</v>
      </c>
      <c r="G87" s="200" t="s">
        <v>107</v>
      </c>
      <c r="H87" s="200">
        <v>62</v>
      </c>
      <c r="I87" s="200"/>
      <c r="J87" s="202"/>
      <c r="K87" s="202"/>
      <c r="L87" s="202">
        <v>60</v>
      </c>
      <c r="M87" s="202">
        <f t="shared" ref="M87:M89" si="59">L87*1.043</f>
        <v>62.579999999999998</v>
      </c>
    </row>
    <row r="88" ht="12.9">
      <c r="A88" s="198">
        <v>82</v>
      </c>
      <c r="B88" s="77" t="s">
        <v>219</v>
      </c>
      <c r="C88" s="199" t="s">
        <v>39</v>
      </c>
      <c r="D88" s="200">
        <f t="shared" si="47"/>
        <v>50.063999999999993</v>
      </c>
      <c r="E88" s="200">
        <f>SUMIF('Объемы работ 2026'!$C$2:$C$152,B88,'Объемы работ 2026'!$G$2:$G$152)</f>
        <v>5</v>
      </c>
      <c r="F88" s="201">
        <f t="shared" si="54"/>
        <v>250.31999999999996</v>
      </c>
      <c r="G88" s="200" t="s">
        <v>107</v>
      </c>
      <c r="H88" s="200">
        <v>24.5</v>
      </c>
      <c r="I88" s="200"/>
      <c r="J88" s="202"/>
      <c r="K88" s="202"/>
      <c r="L88" s="202">
        <v>48</v>
      </c>
      <c r="M88" s="202">
        <f t="shared" si="59"/>
        <v>50.063999999999993</v>
      </c>
    </row>
    <row r="89" ht="12.9">
      <c r="A89" s="198">
        <v>83</v>
      </c>
      <c r="B89" s="77" t="s">
        <v>220</v>
      </c>
      <c r="C89" s="199" t="s">
        <v>39</v>
      </c>
      <c r="D89" s="200">
        <f t="shared" si="47"/>
        <v>45.891999999999996</v>
      </c>
      <c r="E89" s="200">
        <f>SUMIF('Объемы работ 2026'!$C$2:$C$152,B89,'Объемы работ 2026'!$G$2:$G$152)</f>
        <v>12</v>
      </c>
      <c r="F89" s="201">
        <f t="shared" si="54"/>
        <v>550.70399999999995</v>
      </c>
      <c r="G89" s="200" t="s">
        <v>107</v>
      </c>
      <c r="H89" s="200">
        <v>22.5</v>
      </c>
      <c r="I89" s="200"/>
      <c r="J89" s="202"/>
      <c r="K89" s="202"/>
      <c r="L89" s="202">
        <v>44</v>
      </c>
      <c r="M89" s="202">
        <f t="shared" si="59"/>
        <v>45.891999999999996</v>
      </c>
    </row>
    <row r="90" ht="38.75">
      <c r="A90" s="198">
        <v>89</v>
      </c>
      <c r="B90" s="209" t="s">
        <v>154</v>
      </c>
      <c r="C90" s="199" t="s">
        <v>39</v>
      </c>
      <c r="D90" s="200">
        <f t="shared" si="47"/>
        <v>55174.699999999997</v>
      </c>
      <c r="E90" s="200">
        <f>SUMIF('Объемы работ 2026'!$C$2:$C$152,B90,'Объемы работ 2026'!$G$2:$G$152)</f>
        <v>5</v>
      </c>
      <c r="F90" s="201">
        <f t="shared" si="54"/>
        <v>275873.5</v>
      </c>
      <c r="G90" s="210" t="s">
        <v>154</v>
      </c>
      <c r="H90" s="213">
        <v>50000</v>
      </c>
      <c r="I90" s="210"/>
      <c r="J90" s="202"/>
      <c r="K90" s="202">
        <v>50000</v>
      </c>
      <c r="L90" s="202"/>
      <c r="M90" s="202">
        <f>K90*1.058*1.043</f>
        <v>55174.699999999997</v>
      </c>
    </row>
    <row r="91" ht="12.9">
      <c r="A91" s="198">
        <v>91</v>
      </c>
      <c r="B91" s="77" t="s">
        <v>210</v>
      </c>
      <c r="C91" s="199" t="s">
        <v>39</v>
      </c>
      <c r="D91" s="200">
        <f t="shared" si="47"/>
        <v>2917.2709999999997</v>
      </c>
      <c r="E91" s="200">
        <f>SUMIF('Объемы работ 2026'!$C$2:$C$152,B91,'Объемы работ 2026'!$G$2:$G$152)</f>
        <v>10</v>
      </c>
      <c r="F91" s="201">
        <f t="shared" si="54"/>
        <v>29172.709999999999</v>
      </c>
      <c r="G91" s="200" t="s">
        <v>708</v>
      </c>
      <c r="H91" s="200">
        <v>2797</v>
      </c>
      <c r="I91" s="200"/>
      <c r="J91" s="202"/>
      <c r="K91" s="202"/>
      <c r="L91" s="202">
        <v>2797</v>
      </c>
      <c r="M91" s="202">
        <f t="shared" ref="M91:M92" si="60">L91*1.043</f>
        <v>2917.2709999999997</v>
      </c>
    </row>
    <row r="92" ht="12.9">
      <c r="A92" s="198">
        <v>94</v>
      </c>
      <c r="B92" s="209" t="s">
        <v>157</v>
      </c>
      <c r="C92" s="199" t="s">
        <v>39</v>
      </c>
      <c r="D92" s="200">
        <f t="shared" si="47"/>
        <v>392793.79999999999</v>
      </c>
      <c r="E92" s="200">
        <f>SUMIF('Объемы работ 2026'!$C$2:$C$152,B92,'Объемы работ 2026'!$G$2:$G$152)</f>
        <v>5</v>
      </c>
      <c r="F92" s="201">
        <f t="shared" si="54"/>
        <v>1963969</v>
      </c>
      <c r="G92" s="200" t="s">
        <v>157</v>
      </c>
      <c r="H92" s="200">
        <f>I92/5</f>
        <v>376600</v>
      </c>
      <c r="I92" s="200">
        <v>1883000</v>
      </c>
      <c r="J92" s="202"/>
      <c r="K92" s="202"/>
      <c r="L92" s="201">
        <f>1883000/5</f>
        <v>376600</v>
      </c>
      <c r="M92" s="202">
        <f t="shared" si="60"/>
        <v>392793.79999999999</v>
      </c>
    </row>
    <row r="93" s="214" customFormat="1" ht="18.350000000000001">
      <c r="A93" s="215"/>
      <c r="B93" s="215" t="s">
        <v>313</v>
      </c>
      <c r="C93" s="216"/>
      <c r="D93" s="216"/>
      <c r="E93" s="216"/>
      <c r="F93" s="217">
        <f>SUM(F2:F92)</f>
        <v>14756683.771955706</v>
      </c>
      <c r="G93" s="216"/>
      <c r="H93" s="218"/>
      <c r="I93" s="218"/>
      <c r="J93" s="219"/>
    </row>
    <row r="94" ht="13.6">
      <c r="A94" s="215"/>
      <c r="B94" s="215" t="s">
        <v>709</v>
      </c>
      <c r="C94" s="216"/>
      <c r="D94" s="216"/>
      <c r="E94" s="216"/>
      <c r="F94" s="217"/>
      <c r="G94" s="216"/>
      <c r="H94" s="218"/>
      <c r="I94" s="218"/>
      <c r="J94" s="220"/>
    </row>
    <row r="95" ht="12.9">
      <c r="A95" s="215"/>
      <c r="B95" s="221" t="s">
        <v>58</v>
      </c>
      <c r="C95" s="216"/>
      <c r="D95" s="216"/>
      <c r="E95" s="216"/>
      <c r="F95" s="217">
        <f t="shared" ref="F95:F106" si="61">SUMIF($G$1:$G$92,B95,$F$1:$F$92)</f>
        <v>706990.47498333338</v>
      </c>
      <c r="G95" s="216"/>
      <c r="H95" s="218"/>
      <c r="I95" s="218"/>
      <c r="J95" s="219"/>
    </row>
    <row r="96" ht="12.9">
      <c r="A96" s="215"/>
      <c r="B96" s="221" t="s">
        <v>107</v>
      </c>
      <c r="C96" s="216"/>
      <c r="D96" s="216"/>
      <c r="E96" s="216"/>
      <c r="F96" s="217">
        <f t="shared" si="61"/>
        <v>497500.91850802006</v>
      </c>
      <c r="G96" s="216"/>
      <c r="H96" s="218"/>
      <c r="I96" s="218"/>
      <c r="J96" s="219"/>
    </row>
    <row r="97" ht="12.9">
      <c r="A97" s="215"/>
      <c r="B97" s="221" t="s">
        <v>105</v>
      </c>
      <c r="C97" s="216"/>
      <c r="D97" s="216"/>
      <c r="E97" s="216"/>
      <c r="F97" s="217">
        <f t="shared" si="61"/>
        <v>1265306.8925326667</v>
      </c>
      <c r="G97" s="216"/>
      <c r="H97" s="218"/>
      <c r="I97" s="218"/>
      <c r="J97" s="219"/>
    </row>
    <row r="98" ht="12.9">
      <c r="A98" s="215"/>
      <c r="B98" s="221" t="s">
        <v>106</v>
      </c>
      <c r="C98" s="216"/>
      <c r="D98" s="216"/>
      <c r="E98" s="216"/>
      <c r="F98" s="217">
        <f t="shared" si="61"/>
        <v>44258.661999999989</v>
      </c>
      <c r="G98" s="216"/>
      <c r="H98" s="218"/>
      <c r="I98" s="218"/>
      <c r="J98" s="219"/>
    </row>
    <row r="99" ht="12.9">
      <c r="A99" s="215"/>
      <c r="B99" s="221" t="s">
        <v>46</v>
      </c>
      <c r="C99" s="216"/>
      <c r="D99" s="216"/>
      <c r="E99" s="216"/>
      <c r="F99" s="217">
        <f t="shared" si="61"/>
        <v>161141.39731199996</v>
      </c>
      <c r="G99" s="216"/>
      <c r="H99" s="218"/>
      <c r="I99" s="218"/>
      <c r="J99" s="219"/>
    </row>
    <row r="100" ht="12.9">
      <c r="A100" s="215"/>
      <c r="B100" s="221" t="s">
        <v>94</v>
      </c>
      <c r="C100" s="216"/>
      <c r="D100" s="216"/>
      <c r="E100" s="216"/>
      <c r="F100" s="217">
        <f t="shared" si="61"/>
        <v>90406.197</v>
      </c>
      <c r="G100" s="216"/>
      <c r="H100" s="218"/>
      <c r="I100" s="218"/>
      <c r="J100" s="219"/>
    </row>
    <row r="101" ht="12.9">
      <c r="A101" s="215"/>
      <c r="B101" s="221" t="s">
        <v>109</v>
      </c>
      <c r="C101" s="216"/>
      <c r="D101" s="216"/>
      <c r="E101" s="216"/>
      <c r="F101" s="217">
        <f t="shared" si="61"/>
        <v>8987585.094459895</v>
      </c>
      <c r="G101" s="216"/>
      <c r="H101" s="218"/>
      <c r="I101" s="218"/>
      <c r="J101" s="219"/>
    </row>
    <row r="102" ht="12.9">
      <c r="A102" s="215"/>
      <c r="B102" s="221" t="s">
        <v>110</v>
      </c>
      <c r="C102" s="216"/>
      <c r="D102" s="216"/>
      <c r="E102" s="216"/>
      <c r="F102" s="217">
        <f t="shared" si="61"/>
        <v>304767.46890361333</v>
      </c>
      <c r="G102" s="216"/>
      <c r="H102" s="218"/>
      <c r="I102" s="218"/>
      <c r="J102" s="219"/>
    </row>
    <row r="103" ht="12.9">
      <c r="A103" s="215"/>
      <c r="B103" s="221" t="s">
        <v>708</v>
      </c>
      <c r="C103" s="216"/>
      <c r="D103" s="216"/>
      <c r="E103" s="216"/>
      <c r="F103" s="217">
        <f t="shared" si="61"/>
        <v>29172.709999999999</v>
      </c>
      <c r="G103" s="216"/>
      <c r="H103" s="218"/>
      <c r="I103" s="218"/>
      <c r="J103" s="219"/>
    </row>
    <row r="104" ht="15.65">
      <c r="A104" s="222"/>
      <c r="B104" s="223" t="s">
        <v>710</v>
      </c>
      <c r="C104" s="224"/>
      <c r="D104" s="224"/>
      <c r="E104" s="224"/>
      <c r="F104" s="217">
        <f t="shared" si="61"/>
        <v>429711.45625617646</v>
      </c>
      <c r="G104" s="224"/>
      <c r="H104" s="225"/>
      <c r="I104" s="225"/>
      <c r="J104" s="219"/>
    </row>
    <row r="105" ht="15.65">
      <c r="A105" s="222"/>
      <c r="B105" s="223" t="s">
        <v>154</v>
      </c>
      <c r="C105" s="224"/>
      <c r="D105" s="224"/>
      <c r="E105" s="224"/>
      <c r="F105" s="217">
        <f t="shared" si="61"/>
        <v>275873.5</v>
      </c>
      <c r="G105" s="224"/>
      <c r="H105" s="225"/>
      <c r="I105" s="225"/>
      <c r="J105" s="219"/>
    </row>
    <row r="106" ht="15.65">
      <c r="A106" s="222"/>
      <c r="B106" s="221" t="s">
        <v>157</v>
      </c>
      <c r="C106" s="224"/>
      <c r="D106" s="224"/>
      <c r="E106" s="224"/>
      <c r="F106" s="217">
        <f t="shared" si="61"/>
        <v>1963969</v>
      </c>
      <c r="G106" s="224"/>
      <c r="H106" s="225"/>
      <c r="I106" s="225"/>
      <c r="J106" s="219"/>
    </row>
  </sheetData>
  <autoFilter ref="A1:M106"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customXml/_rels/item1.xml.rels><?xml version="1.0" encoding="UTF-8" standalone="yes"?><Relationships xmlns="http://schemas.openxmlformats.org/package/2006/relationships"><Relationship 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w m o v W G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w m o v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J q L 1 g o i k e 4 D g A A A B E A A A A T A B w A R m 9 y b X V s Y X M v U 2 V j d G l v b j E u b S C i G A A o o B Q A A A A A A A A A A A A A A A A A A A A A A A A A A A A r T k 0 u y c z P U w i G 0 I b W A F B L A Q I t A B Q A A g A I A M J q L 1 h u I L q p p w A A A P k A A A A S A A A A A A A A A A A A A A A A A A A A A A B D b 2 5 m a W c v U G F j a 2 F n Z S 5 4 b W x Q S w E C L Q A U A A I A C A D C a i 9 Y D 8 r p q 6 Q A A A D p A A A A E w A A A A A A A A A A A A A A A A D z A A A A W 0 N v b n R l b n R f V H l w Z X N d L n h t b F B L A Q I t A B Q A A g A I A M J q L 1 g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l 8 a H H j 5 x z T a R b z c Z y n + B C A A A A A A I A A A A A A A N m A A D A A A A A E A A A A L m x P j Q 0 V I l Y W U 2 S F / 6 z i y 8 A A A A A B I A A A K A A A A A Q A A A A 2 4 h a l v 4 I s 5 p 3 5 F s v a m e y 8 1 A A A A B x i t D K h / Q E Y H E N B K W g 4 8 l B G Z 9 + 2 8 p b p t x h R G E 4 s I T 0 u s A L b 5 I L X L V Y W k B E P c j p V S 9 N f t e G j L D 0 f s D g r J 6 o d n h U K s c t / g V V D q 2 y U t h 1 Z / n X 5 B Q A A A C t D P k e Y t e F 3 5 6 d S h J f 6 U w M P w m f Y A = = < / D a t a M a s h u p > 
</file>

<file path=customXml/itemProps1.xml><?xml version="1.0" encoding="utf-8"?>
<ds:datastoreItem xmlns:ds="http://schemas.openxmlformats.org/officeDocument/2006/customXml" ds:itemID="{1AC3F483-5899-436B-B914-58F59C15C8E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</cp:revision>
  <dcterms:modified xsi:type="dcterms:W3CDTF">2025-02-24T15:43:25Z</dcterms:modified>
</cp:coreProperties>
</file>